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6215" windowHeight="10020"/>
  </bookViews>
  <sheets>
    <sheet name="LL-simple" sheetId="4" r:id="rId1"/>
    <sheet name="LL-advanced" sheetId="2" r:id="rId2"/>
    <sheet name="HAP Speciation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1">'[1]Process Tanks'!#REF!</definedName>
    <definedName name="A" localSheetId="0">'[1]Process Tanks'!#REF!</definedName>
    <definedName name="A">'[1]Process Tanks'!#REF!</definedName>
    <definedName name="A_12" localSheetId="1">'[1]Process Tanks'!#REF!</definedName>
    <definedName name="A_12" localSheetId="0">'[1]Process Tanks'!#REF!</definedName>
    <definedName name="A_12">'[1]Process Tanks'!#REF!</definedName>
    <definedName name="A_21" localSheetId="1">'[1]Process Tanks'!#REF!</definedName>
    <definedName name="A_21" localSheetId="0">'[1]Process Tanks'!#REF!</definedName>
    <definedName name="A_21">'[1]Process Tanks'!#REF!</definedName>
    <definedName name="abdasdgsa" localSheetId="1">'[2]1-2; Grain Receiving&amp;DDGS'!#REF!</definedName>
    <definedName name="abdasdgsa" localSheetId="0">'[2]1-2; Grain Receiving&amp;DDGS'!#REF!</definedName>
    <definedName name="abdasdgsa">'[2]1-2; Grain Receiving&amp;DDGS'!#REF!</definedName>
    <definedName name="B" localSheetId="1">'[1]Process Tanks'!#REF!</definedName>
    <definedName name="B" localSheetId="0">'[1]Process Tanks'!#REF!</definedName>
    <definedName name="B">'[1]Process Tanks'!#REF!</definedName>
    <definedName name="C_" localSheetId="1">'[1]Process Tanks'!#REF!</definedName>
    <definedName name="C_" localSheetId="0">'[1]Process Tanks'!#REF!</definedName>
    <definedName name="C_">'[1]Process Tanks'!#REF!</definedName>
    <definedName name="CDA_Factor">[3]Constants!$B$5</definedName>
    <definedName name="CO2_RECOVERY" localSheetId="1">#REF!</definedName>
    <definedName name="CO2_RECOVERY" localSheetId="0">#REF!</definedName>
    <definedName name="CO2_RECOVERY">#REF!</definedName>
    <definedName name="COOLER" localSheetId="1">#REF!</definedName>
    <definedName name="COOLER" localSheetId="0">#REF!</definedName>
    <definedName name="COOLER">#REF!</definedName>
    <definedName name="DDGS_HANDLING" localSheetId="1">#REF!</definedName>
    <definedName name="DDGS_HANDLING" localSheetId="0">#REF!</definedName>
    <definedName name="DDGS_HANDLING">#REF!</definedName>
    <definedName name="DISTILLATION" localSheetId="1">'[4]6; Distillation'!#REF!</definedName>
    <definedName name="DISTILLATION" localSheetId="0">'[4]6; Distillation'!#REF!</definedName>
    <definedName name="DISTILLATION">'[2]6; Distillation'!#REF!</definedName>
    <definedName name="DRYER_PM_VOC" localSheetId="1">#REF!</definedName>
    <definedName name="DRYER_PM_VOC" localSheetId="0">#REF!</definedName>
    <definedName name="DRYER_PM_VOC">#REF!</definedName>
    <definedName name="EAW_TOTAL" localSheetId="1">#REF!</definedName>
    <definedName name="EAW_TOTAL" localSheetId="0">#REF!</definedName>
    <definedName name="EAW_TOTAL">#REF!</definedName>
    <definedName name="EQUIPMENT_LEAKS" localSheetId="1">#REF!</definedName>
    <definedName name="EQUIPMENT_LEAKS" localSheetId="0">#REF!</definedName>
    <definedName name="EQUIPMENT_LEAKS">#REF!</definedName>
    <definedName name="FERMENTATION" localSheetId="1">#REF!</definedName>
    <definedName name="FERMENTATION" localSheetId="0">#REF!</definedName>
    <definedName name="FERMENTATION">#REF!</definedName>
    <definedName name="FILENAME" localSheetId="1">'[5]2; Grain (fugitives)'!#REF!</definedName>
    <definedName name="FILENAME" localSheetId="0">'[5]2; Grain (fugitives)'!#REF!</definedName>
    <definedName name="FILENAME">'[2]1-2; Grain Receiving&amp;DDGS'!#REF!</definedName>
    <definedName name="Flare" localSheetId="0">'[2]1-2; Grain Receiving&amp;DDGS'!#REF!</definedName>
    <definedName name="Flare">'[2]1-2; Grain Receiving&amp;DDGS'!#REF!</definedName>
    <definedName name="GRAIN_RECEIVING" localSheetId="1">#REF!</definedName>
    <definedName name="GRAIN_RECEIVING" localSheetId="0">#REF!</definedName>
    <definedName name="GRAIN_RECEIVING">#REF!</definedName>
    <definedName name="horse" localSheetId="0">'[6]1-2; Grain Receiving&amp;DDGS'!#REF!</definedName>
    <definedName name="horse">'[6]1-2; Grain Receiving&amp;DDGS'!#REF!</definedName>
    <definedName name="k" localSheetId="1">#REF!</definedName>
    <definedName name="k" localSheetId="0">#REF!</definedName>
    <definedName name="k">#REF!</definedName>
    <definedName name="LABELING" localSheetId="1">#REF!</definedName>
    <definedName name="LABELING" localSheetId="0">#REF!</definedName>
    <definedName name="LABELING">#REF!</definedName>
    <definedName name="LOADING_RACK" localSheetId="1">#REF!</definedName>
    <definedName name="LOADING_RACK" localSheetId="0">#REF!</definedName>
    <definedName name="LOADING_RACK">#REF!</definedName>
    <definedName name="M" localSheetId="1">#REF!</definedName>
    <definedName name="M" localSheetId="0">#REF!</definedName>
    <definedName name="M">#REF!</definedName>
    <definedName name="_xlnm.Print_Area" localSheetId="1">'LL-advanced'!$A$1:$E$133</definedName>
    <definedName name="_xlnm.Print_Area" localSheetId="0">'LL-simple'!$A$1:$H$53</definedName>
    <definedName name="_xlnm.Print_Area">#REF!</definedName>
    <definedName name="_xlnm.Print_Titles" localSheetId="1">'LL-advanced'!$1:$3</definedName>
    <definedName name="_xlnm.Print_Titles" localSheetId="0">'LL-simple'!$1:$3</definedName>
    <definedName name="R_" localSheetId="1">'[1]Process Tanks'!#REF!</definedName>
    <definedName name="R_" localSheetId="0">'[1]Process Tanks'!#REF!</definedName>
    <definedName name="R_">'[1]Process Tanks'!#REF!</definedName>
    <definedName name="T_oC" localSheetId="1">'[1]Process Tanks'!#REF!</definedName>
    <definedName name="T_oC" localSheetId="0">'[1]Process Tanks'!#REF!</definedName>
    <definedName name="T_oC">'[1]Process Tanks'!#REF!</definedName>
    <definedName name="Text192" localSheetId="1">'LL-advanced'!$B$38</definedName>
    <definedName name="Text192" localSheetId="0">'LL-simple'!$B$19</definedName>
    <definedName name="Text193" localSheetId="1">'LL-advanced'!$B$41</definedName>
    <definedName name="Text193" localSheetId="0">'LL-simple'!$B$22</definedName>
    <definedName name="Text194" localSheetId="1">'LL-advanced'!#REF!</definedName>
    <definedName name="Text194" localSheetId="0">'LL-simple'!#REF!</definedName>
    <definedName name="Text195" localSheetId="1">'LL-advanced'!#REF!</definedName>
    <definedName name="Text195" localSheetId="0">'LL-simple'!#REF!</definedName>
    <definedName name="Text196" localSheetId="1">'LL-advanced'!#REF!</definedName>
    <definedName name="Text196" localSheetId="0">'LL-simple'!#REF!</definedName>
    <definedName name="Text197" localSheetId="1">'LL-advanced'!$B$45</definedName>
    <definedName name="Text197" localSheetId="0">'LL-simple'!$B$26</definedName>
    <definedName name="Text200" localSheetId="1">'LL-advanced'!$C$36</definedName>
    <definedName name="Text200" localSheetId="0">'LL-simple'!$C$17</definedName>
    <definedName name="Text201" localSheetId="1">'LL-advanced'!$C$44</definedName>
    <definedName name="Text201" localSheetId="0">'LL-simple'!$C$25</definedName>
    <definedName name="Text204" localSheetId="1">'LL-advanced'!$D$38</definedName>
    <definedName name="Text204" localSheetId="0">'LL-simple'!$D$19</definedName>
    <definedName name="Text205" localSheetId="1">'LL-advanced'!$D$39</definedName>
    <definedName name="Text205" localSheetId="0">'LL-simple'!$D$20</definedName>
    <definedName name="Text206" localSheetId="1">'LL-advanced'!$D$41</definedName>
    <definedName name="Text206" localSheetId="0">'LL-simple'!$D$22</definedName>
    <definedName name="Text207" localSheetId="1">'LL-advanced'!#REF!</definedName>
    <definedName name="Text207" localSheetId="0">'LL-simple'!#REF!</definedName>
    <definedName name="Text208" localSheetId="1">'LL-advanced'!$D$43</definedName>
    <definedName name="Text208" localSheetId="0">'LL-simple'!$D$24</definedName>
    <definedName name="Text209" localSheetId="1">'LL-advanced'!#REF!</definedName>
    <definedName name="Text209" localSheetId="0">'LL-simple'!#REF!</definedName>
    <definedName name="Text210" localSheetId="1">'LL-advanced'!$D$45</definedName>
    <definedName name="Text210" localSheetId="0">'LL-simple'!$D$26</definedName>
    <definedName name="TOTAL" localSheetId="1">#REF!</definedName>
    <definedName name="TOTAL" localSheetId="0">#REF!</definedName>
    <definedName name="TOTAL">#REF!</definedName>
    <definedName name="U" localSheetId="1">#REF!</definedName>
    <definedName name="U" localSheetId="0">#REF!</definedName>
    <definedName name="U">#REF!</definedName>
    <definedName name="Unpaved" localSheetId="1">#REF!</definedName>
    <definedName name="Unpaved" localSheetId="0">#REF!</definedName>
    <definedName name="Unpaved">#REF!</definedName>
    <definedName name="V1L" localSheetId="1">'[1]Process Tanks'!#REF!</definedName>
    <definedName name="V1L" localSheetId="0">'[1]Process Tanks'!#REF!</definedName>
    <definedName name="V1L">'[1]Process Tanks'!#REF!</definedName>
    <definedName name="V2L" localSheetId="1">'[1]Process Tanks'!#REF!</definedName>
    <definedName name="V2L" localSheetId="0">'[1]Process Tanks'!#REF!</definedName>
    <definedName name="V2L">'[1]Process Tanks'!#REF!</definedName>
    <definedName name="VOC_DRYER" localSheetId="1">#REF!</definedName>
    <definedName name="VOC_DRYER" localSheetId="0">#REF!</definedName>
    <definedName name="VOC_DRYER">#REF!</definedName>
    <definedName name="X_1" localSheetId="1">'[1]Process Tanks'!#REF!</definedName>
    <definedName name="X_1" localSheetId="0">'[1]Process Tanks'!#REF!</definedName>
    <definedName name="X_1">'[1]Process Tanks'!#REF!</definedName>
    <definedName name="X_2" localSheetId="1">'[1]Process Tanks'!#REF!</definedName>
    <definedName name="X_2" localSheetId="0">'[1]Process Tanks'!#REF!</definedName>
    <definedName name="X_2">'[1]Process Tanks'!#REF!</definedName>
  </definedNames>
  <calcPr calcId="145621"/>
</workbook>
</file>

<file path=xl/calcChain.xml><?xml version="1.0" encoding="utf-8"?>
<calcChain xmlns="http://schemas.openxmlformats.org/spreadsheetml/2006/main">
  <c r="D14" i="3" l="1"/>
  <c r="I30" i="3" l="1"/>
  <c r="I27" i="3"/>
  <c r="H9" i="3" l="1"/>
  <c r="H12" i="3"/>
  <c r="H10" i="3"/>
  <c r="H6" i="3"/>
  <c r="I35" i="3" l="1"/>
  <c r="I37" i="3"/>
  <c r="B74" i="2"/>
  <c r="B85" i="2" l="1"/>
  <c r="A39" i="4"/>
  <c r="D32" i="4"/>
  <c r="B12" i="4" l="1"/>
  <c r="I49" i="3" l="1"/>
  <c r="I50" i="3"/>
  <c r="I51" i="3"/>
  <c r="I52" i="3"/>
  <c r="I53" i="3"/>
  <c r="I54" i="3"/>
  <c r="I55" i="3"/>
  <c r="I56" i="3"/>
  <c r="I57" i="3"/>
  <c r="I58" i="3"/>
  <c r="I48" i="3"/>
  <c r="I28" i="3" l="1"/>
  <c r="I29" i="3"/>
  <c r="I31" i="3"/>
  <c r="I32" i="3"/>
  <c r="I33" i="3"/>
  <c r="I34" i="3"/>
  <c r="I36" i="3"/>
  <c r="D26" i="4"/>
  <c r="D18" i="4"/>
  <c r="C14" i="3"/>
  <c r="E14" i="3"/>
  <c r="F14" i="3"/>
  <c r="G14" i="3"/>
  <c r="B14" i="3"/>
  <c r="C26" i="4"/>
  <c r="B25" i="4"/>
  <c r="B24" i="4"/>
  <c r="B23" i="4"/>
  <c r="B21" i="4"/>
  <c r="B20" i="4"/>
  <c r="B19" i="4"/>
  <c r="B18" i="4"/>
  <c r="C12" i="4"/>
  <c r="C5" i="4"/>
  <c r="B26" i="4" l="1"/>
  <c r="D33" i="4"/>
  <c r="B52" i="4"/>
  <c r="B49" i="4"/>
  <c r="B46" i="4"/>
  <c r="B51" i="4"/>
  <c r="B48" i="4"/>
  <c r="B45" i="4"/>
  <c r="B47" i="4"/>
  <c r="B44" i="4"/>
  <c r="B50" i="4"/>
  <c r="B44" i="2"/>
  <c r="B43" i="2"/>
  <c r="B42" i="2"/>
  <c r="B40" i="2"/>
  <c r="B39" i="2"/>
  <c r="B38" i="2"/>
  <c r="B37" i="2"/>
  <c r="B5" i="2"/>
  <c r="C22" i="2" s="1"/>
  <c r="B86" i="2"/>
  <c r="C45" i="2"/>
  <c r="B45" i="2"/>
  <c r="C13" i="2"/>
  <c r="B13" i="2"/>
  <c r="D74" i="2" s="1"/>
  <c r="B92" i="2" s="1"/>
  <c r="B75" i="2" l="1"/>
  <c r="C75" i="2"/>
  <c r="E33" i="4"/>
  <c r="E34" i="4"/>
  <c r="C52" i="4"/>
  <c r="C51" i="4"/>
  <c r="C50" i="4"/>
  <c r="C49" i="4"/>
  <c r="C48" i="4"/>
  <c r="C47" i="4"/>
  <c r="C46" i="4"/>
  <c r="C45" i="4"/>
  <c r="C44" i="4"/>
  <c r="D22" i="2"/>
  <c r="B76" i="2" l="1"/>
  <c r="C76" i="2"/>
  <c r="B77" i="2"/>
  <c r="D77" i="2" s="1"/>
  <c r="F44" i="4"/>
  <c r="F47" i="4"/>
  <c r="F51" i="4"/>
  <c r="F45" i="4"/>
  <c r="F49" i="4"/>
  <c r="F46" i="4"/>
  <c r="F48" i="4"/>
  <c r="F50" i="4"/>
  <c r="F52" i="4"/>
  <c r="E45" i="4"/>
  <c r="E49" i="4"/>
  <c r="E47" i="4"/>
  <c r="E51" i="4"/>
  <c r="E44" i="4"/>
  <c r="E46" i="4"/>
  <c r="E48" i="4"/>
  <c r="E50" i="4"/>
  <c r="E52" i="4"/>
  <c r="D34" i="4"/>
  <c r="D35" i="4"/>
  <c r="B39" i="4" s="1"/>
  <c r="E35" i="4"/>
  <c r="C39" i="4" s="1"/>
  <c r="B93" i="2"/>
  <c r="B97" i="2"/>
  <c r="B96" i="2"/>
  <c r="B100" i="2"/>
  <c r="B95" i="2"/>
  <c r="B99" i="2"/>
  <c r="B94" i="2"/>
  <c r="B98" i="2"/>
  <c r="D39" i="4" l="1"/>
  <c r="E39" i="4"/>
  <c r="E53" i="4"/>
  <c r="D52" i="4"/>
  <c r="G52" i="4" s="1"/>
  <c r="H52" i="4" s="1"/>
  <c r="D51" i="4"/>
  <c r="G51" i="4" s="1"/>
  <c r="H51" i="4" s="1"/>
  <c r="D50" i="4"/>
  <c r="G50" i="4" s="1"/>
  <c r="H50" i="4" s="1"/>
  <c r="D49" i="4"/>
  <c r="G49" i="4" s="1"/>
  <c r="H49" i="4" s="1"/>
  <c r="D48" i="4"/>
  <c r="G48" i="4" s="1"/>
  <c r="H48" i="4" s="1"/>
  <c r="D47" i="4"/>
  <c r="G47" i="4" s="1"/>
  <c r="H47" i="4" s="1"/>
  <c r="D46" i="4"/>
  <c r="G46" i="4" s="1"/>
  <c r="H46" i="4" s="1"/>
  <c r="D45" i="4"/>
  <c r="G45" i="4" s="1"/>
  <c r="H45" i="4" s="1"/>
  <c r="D44" i="4"/>
  <c r="G44" i="4" s="1"/>
  <c r="H44" i="4" s="1"/>
  <c r="E76" i="2"/>
  <c r="D76" i="2"/>
  <c r="B53" i="4" l="1"/>
  <c r="G53" i="4" s="1"/>
  <c r="H53" i="4" s="1"/>
  <c r="C111" i="2"/>
  <c r="C115" i="2"/>
  <c r="C109" i="2"/>
  <c r="C108" i="2"/>
  <c r="C107" i="2"/>
  <c r="C110" i="2"/>
  <c r="C114" i="2"/>
  <c r="C113" i="2"/>
  <c r="C112" i="2"/>
  <c r="D99" i="2"/>
  <c r="D95" i="2"/>
  <c r="D98" i="2"/>
  <c r="D100" i="2"/>
  <c r="D96" i="2"/>
  <c r="D92" i="2"/>
  <c r="D97" i="2"/>
  <c r="D93" i="2"/>
  <c r="D94" i="2"/>
  <c r="D75" i="2"/>
  <c r="C85" i="2"/>
  <c r="D85" i="2" s="1"/>
  <c r="C77" i="2"/>
  <c r="E75" i="2"/>
  <c r="E77" i="2" l="1"/>
  <c r="C86" i="2" s="1"/>
  <c r="D86" i="2" s="1"/>
  <c r="B122" i="2" s="1"/>
  <c r="C122" i="2" s="1"/>
  <c r="C93" i="2"/>
  <c r="C97" i="2"/>
  <c r="C92" i="2"/>
  <c r="C95" i="2"/>
  <c r="C94" i="2"/>
  <c r="C96" i="2"/>
  <c r="C100" i="2"/>
  <c r="C99" i="2"/>
  <c r="C98" i="2"/>
  <c r="B110" i="2"/>
  <c r="D110" i="2" s="1"/>
  <c r="B114" i="2"/>
  <c r="D114" i="2" s="1"/>
  <c r="B108" i="2"/>
  <c r="D108" i="2" s="1"/>
  <c r="B107" i="2"/>
  <c r="B109" i="2"/>
  <c r="D109" i="2" s="1"/>
  <c r="B113" i="2"/>
  <c r="B112" i="2"/>
  <c r="D112" i="2" s="1"/>
  <c r="B111" i="2"/>
  <c r="D111" i="2" s="1"/>
  <c r="B115" i="2"/>
  <c r="D115" i="2" s="1"/>
  <c r="E93" i="2" l="1"/>
  <c r="B125" i="2" s="1"/>
  <c r="C125" i="2" s="1"/>
  <c r="E95" i="2"/>
  <c r="B127" i="2" s="1"/>
  <c r="C127" i="2" s="1"/>
  <c r="E97" i="2"/>
  <c r="B129" i="2" s="1"/>
  <c r="C129" i="2" s="1"/>
  <c r="E100" i="2"/>
  <c r="B132" i="2" s="1"/>
  <c r="C132" i="2" s="1"/>
  <c r="E98" i="2"/>
  <c r="E94" i="2"/>
  <c r="B126" i="2" s="1"/>
  <c r="C126" i="2" s="1"/>
  <c r="E96" i="2"/>
  <c r="B128" i="2" s="1"/>
  <c r="C128" i="2" s="1"/>
  <c r="E99" i="2"/>
  <c r="B131" i="2" s="1"/>
  <c r="C131" i="2" s="1"/>
  <c r="D113" i="2" l="1"/>
  <c r="B101" i="2"/>
  <c r="E101" i="2" s="1"/>
  <c r="E92" i="2"/>
  <c r="B130" i="2" l="1"/>
  <c r="C130" i="2" s="1"/>
  <c r="D107" i="2"/>
  <c r="B124" i="2" s="1"/>
  <c r="C124" i="2" s="1"/>
  <c r="B116" i="2"/>
  <c r="D116" i="2" s="1"/>
  <c r="B133" i="2" l="1"/>
  <c r="C133" i="2" s="1"/>
</calcChain>
</file>

<file path=xl/comments1.xml><?xml version="1.0" encoding="utf-8"?>
<comments xmlns="http://schemas.openxmlformats.org/spreadsheetml/2006/main">
  <authors>
    <author>david.graiver</author>
    <author>NDEQ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david.graiver:</t>
        </r>
        <r>
          <rPr>
            <sz val="9"/>
            <color indexed="81"/>
            <rFont val="Tahoma"/>
            <family val="2"/>
          </rPr>
          <t xml:space="preserve">
This will be source specific depending on their control system.
Control efficiency of balance systems range from 93-100% (AP-42, page 5.2-14).
A collection efficiency of 98.7 percent (a 1.3 percent leakage rate) should be assumed for trucks passing the NSPS-level annual test (3 inches pressure change) A collection efficiency of 70 percent should be assumed for trucks not passing one of these annual leak tests. (AP-42, Page 5.2-6)</t>
        </r>
      </text>
    </comment>
    <comment ref="C11" authorId="1">
      <text>
        <r>
          <rPr>
            <b/>
            <sz val="9"/>
            <color indexed="81"/>
            <rFont val="Tahoma"/>
            <family val="2"/>
          </rPr>
          <t>NDEQ:</t>
        </r>
        <r>
          <rPr>
            <sz val="9"/>
            <color indexed="81"/>
            <rFont val="Tahoma"/>
            <family val="2"/>
          </rPr>
          <t xml:space="preserve">
No control efficiency specified for Rail Loadout in AP-42.
However, if the facility can provide proof of control during the rail loadout, then control efficiency can be applied as deemed appropriate.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david.graiver:</t>
        </r>
        <r>
          <rPr>
            <sz val="9"/>
            <color indexed="81"/>
            <rFont val="Tahoma"/>
            <family val="2"/>
          </rPr>
          <t xml:space="preserve">
These uncontrolled Emission Factors work under the following assumptions:
1) Loadout temperature of 509.71 R (~51 degrees F)
2) 5% use of denaturant
3) Submerged Loading for both Truck and Rail
If this doesn't apply or you want to be more specific, use LL-advanced</t>
        </r>
      </text>
    </comment>
  </commentList>
</comments>
</file>

<file path=xl/comments2.xml><?xml version="1.0" encoding="utf-8"?>
<comments xmlns="http://schemas.openxmlformats.org/spreadsheetml/2006/main">
  <authors>
    <author>david.graiver</author>
    <author>NDEQ</author>
    <author>David Graiver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david.graiver:</t>
        </r>
        <r>
          <rPr>
            <sz val="9"/>
            <color indexed="81"/>
            <rFont val="Tahoma"/>
            <family val="2"/>
          </rPr>
          <t xml:space="preserve">
This will be source specific depending on their control system.
Control efficiency of balance systems range from 93-100% (AP-42, page 5.2-14).
A collection efficiency of 98.7 percent (a 1.3 percent leakage rate) should be assumed for trucks passing the NSPS-level annual test (3 inches pressure change) A collection efficiency of 70 percent should be assumed for trucks not passing one of these annual leak tests. (AP-42, Page 5.2-6)</t>
        </r>
      </text>
    </comment>
    <comment ref="C12" authorId="1">
      <text>
        <r>
          <rPr>
            <b/>
            <sz val="9"/>
            <color indexed="81"/>
            <rFont val="Tahoma"/>
            <family val="2"/>
          </rPr>
          <t>NDEQ:</t>
        </r>
        <r>
          <rPr>
            <sz val="9"/>
            <color indexed="81"/>
            <rFont val="Tahoma"/>
            <family val="2"/>
          </rPr>
          <t xml:space="preserve">
Rail loadouts do not fall under the vapor balance services according to AP-42 because they are assumed to be dedicated services.
No control efficiency specified for Rail Loadout in AP-42. However, if the facility can provide proof of control during the rail loadout, then control efficiency can be applied as deemed appropriate.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david.graiver:</t>
        </r>
        <r>
          <rPr>
            <sz val="9"/>
            <color indexed="81"/>
            <rFont val="Tahoma"/>
            <family val="2"/>
          </rPr>
          <t xml:space="preserve">
If the source uses a different temperature, you may need to modify the density and vapor pressure for all 3 liquids because these properties  can change with temperature!</t>
        </r>
      </text>
    </comment>
    <comment ref="D36" authorId="2">
      <text>
        <r>
          <rPr>
            <b/>
            <sz val="8"/>
            <color indexed="81"/>
            <rFont val="Tahoma"/>
            <family val="2"/>
          </rPr>
          <t>David Graiver:</t>
        </r>
        <r>
          <rPr>
            <sz val="8"/>
            <color indexed="81"/>
            <rFont val="Tahoma"/>
            <family val="2"/>
          </rPr>
          <t xml:space="preserve">
Highlighted cells were updated based on msds information.  References are on separate tab.</t>
        </r>
      </text>
    </comment>
  </commentList>
</comments>
</file>

<file path=xl/sharedStrings.xml><?xml version="1.0" encoding="utf-8"?>
<sst xmlns="http://schemas.openxmlformats.org/spreadsheetml/2006/main" count="271" uniqueCount="141">
  <si>
    <t>Fact Sheet Attachment</t>
  </si>
  <si>
    <t>Anhydrous Ethanol Loading Rate:</t>
  </si>
  <si>
    <t>MMgal/yr</t>
  </si>
  <si>
    <t>Denaturant Loading Rate:</t>
  </si>
  <si>
    <t>Denatured Ethanol Loading Rate:</t>
  </si>
  <si>
    <t>Vapor Recovery Control Efficiency provided in Application</t>
  </si>
  <si>
    <t>Capture efficiency:</t>
  </si>
  <si>
    <t>Control efficiency:</t>
  </si>
  <si>
    <t>Overall control efficiency:</t>
  </si>
  <si>
    <t>Material Physical Data</t>
  </si>
  <si>
    <t>Gasoline (RVP-13)</t>
  </si>
  <si>
    <t>Ethanol</t>
  </si>
  <si>
    <t>Denaturant
(Natural Gasoline)</t>
  </si>
  <si>
    <t>Molecular weight (M, lbs/lbs-mole)</t>
  </si>
  <si>
    <t>Vapor pressure (P, psia)</t>
  </si>
  <si>
    <t>Liquid molecular weight (ML)</t>
  </si>
  <si>
    <t>Density (D, lb/gal)</t>
  </si>
  <si>
    <t>N/A</t>
  </si>
  <si>
    <t>Hazardous Air Pollutant Weight Fractions</t>
  </si>
  <si>
    <t>Individual HAPs</t>
  </si>
  <si>
    <t>Weight Fraction of VOC Emissions</t>
  </si>
  <si>
    <t>Gasoline</t>
  </si>
  <si>
    <t>Denaturant</t>
  </si>
  <si>
    <t xml:space="preserve"> Acetaldehyde</t>
  </si>
  <si>
    <t xml:space="preserve"> Benzene</t>
  </si>
  <si>
    <t xml:space="preserve"> Carbon disulfide</t>
  </si>
  <si>
    <t xml:space="preserve"> Cumene</t>
  </si>
  <si>
    <t xml:space="preserve"> Ethyl benzene</t>
  </si>
  <si>
    <t xml:space="preserve"> Methanol</t>
  </si>
  <si>
    <t xml:space="preserve"> Toluene</t>
  </si>
  <si>
    <t xml:space="preserve"> Xylene</t>
  </si>
  <si>
    <t>Total HAPs</t>
  </si>
  <si>
    <t>Saturation factor</t>
  </si>
  <si>
    <r>
      <t xml:space="preserve">  S</t>
    </r>
    <r>
      <rPr>
        <vertAlign val="subscript"/>
        <sz val="11"/>
        <rFont val="Times New Roman"/>
        <family val="1"/>
      </rPr>
      <t>clean cargo, submerged loading</t>
    </r>
  </si>
  <si>
    <t>VOC Emissions</t>
  </si>
  <si>
    <t>Denatured Ethanol Emission Factor Calculations</t>
  </si>
  <si>
    <t>Truck Loadout Uncontrolled
Emission Factor 
(lbs VOC/Mgal)</t>
  </si>
  <si>
    <t>Railcar Loadout 
Uncontrolled
Emission Factor
(lbs VOC/Mgal)</t>
  </si>
  <si>
    <t>Truck Loadout Controlled
Emission Factor 
(lbs VOC/Mgal)</t>
  </si>
  <si>
    <t>Railcar Loadout 
Controlled
Emission Factor
(lbs VOC/Mgal)</t>
  </si>
  <si>
    <r>
      <t xml:space="preserve">  EF</t>
    </r>
    <r>
      <rPr>
        <vertAlign val="subscript"/>
        <sz val="11"/>
        <rFont val="Times New Roman"/>
        <family val="1"/>
      </rPr>
      <t>gasoline</t>
    </r>
  </si>
  <si>
    <r>
      <t xml:space="preserve">  EF</t>
    </r>
    <r>
      <rPr>
        <vertAlign val="subscript"/>
        <sz val="11"/>
        <rFont val="Times New Roman"/>
        <family val="1"/>
      </rPr>
      <t>ethanol</t>
    </r>
  </si>
  <si>
    <r>
      <t xml:space="preserve">  EF</t>
    </r>
    <r>
      <rPr>
        <vertAlign val="subscript"/>
        <sz val="11"/>
        <rFont val="Times New Roman"/>
        <family val="1"/>
      </rPr>
      <t>denaturant</t>
    </r>
  </si>
  <si>
    <t>VOC emission factor equation from AP-42, Section 5.2.2 - Loading Losses (1/1995)</t>
  </si>
  <si>
    <t>EF = 12.46*S*P*M/T*(1-eff/100)*X = lbs/Mgal per component</t>
  </si>
  <si>
    <t>Total VOC Emission Calculations from Denatured Ethanol Loadout</t>
  </si>
  <si>
    <t>Loadout Type/Material</t>
  </si>
  <si>
    <t>(A)
Denatured 
Ethanol Loaded Out
(Mgal/year)</t>
  </si>
  <si>
    <t>(C)=(A)x(B)/2000
Total VOC Emissions
(tons/year)</t>
  </si>
  <si>
    <t>100% Loadout By Rail</t>
  </si>
  <si>
    <t>Controlled Hazardous Air Pollutant Emissions assuming 100% Truck Loadout</t>
  </si>
  <si>
    <t>Hazardous Air Pollutant</t>
  </si>
  <si>
    <t>Truck Loadout
(ton/yr)</t>
  </si>
  <si>
    <t>Rail Loadout
(ton/yr)</t>
  </si>
  <si>
    <t>Maximum Controlled 
HAP Emissions
(tons/year)</t>
  </si>
  <si>
    <t xml:space="preserve">Ethanol </t>
  </si>
  <si>
    <t>Controlled Hazardous Air Pollutant Emissions assuming 100% Rail Loadout</t>
  </si>
  <si>
    <t>Total Emissions from Denatured Ethanol Loadout</t>
  </si>
  <si>
    <t>Pollutant</t>
  </si>
  <si>
    <t>Ethanol Loadout Emissions
(tons/year)</t>
  </si>
  <si>
    <t>Volatile Organic Compounds (VOC)</t>
  </si>
  <si>
    <t>Truck loadout</t>
  </si>
  <si>
    <t>Rail loadout</t>
  </si>
  <si>
    <r>
      <t>Temperature (T, deg R)</t>
    </r>
    <r>
      <rPr>
        <vertAlign val="superscript"/>
        <sz val="11"/>
        <rFont val="Times New Roman"/>
        <family val="1"/>
      </rPr>
      <t>1</t>
    </r>
  </si>
  <si>
    <r>
      <t>Liquid Mole Fraction (X)</t>
    </r>
    <r>
      <rPr>
        <vertAlign val="superscript"/>
        <sz val="11"/>
        <rFont val="Times New Roman"/>
        <family val="1"/>
      </rPr>
      <t>2</t>
    </r>
  </si>
  <si>
    <r>
      <t>1</t>
    </r>
    <r>
      <rPr>
        <sz val="11"/>
        <rFont val="Times New Roman"/>
        <family val="1"/>
      </rPr>
      <t>Temperatures from TANKS 4.09d, average ambient temperature for Grand Island, NE</t>
    </r>
  </si>
  <si>
    <r>
      <t>2</t>
    </r>
    <r>
      <rPr>
        <sz val="11"/>
        <rFont val="Times New Roman"/>
        <family val="1"/>
      </rPr>
      <t xml:space="preserve">Liquid Mole Fraction (X) was calculated as follows, where V = loading rate: </t>
    </r>
  </si>
  <si>
    <r>
      <t xml:space="preserve">  S</t>
    </r>
    <r>
      <rPr>
        <vertAlign val="subscript"/>
        <sz val="11"/>
        <rFont val="Times New Roman"/>
        <family val="1"/>
      </rPr>
      <t>normal dedicated, submerged loading</t>
    </r>
  </si>
  <si>
    <t>100% Loadout by Truck</t>
  </si>
  <si>
    <t>.6 is always filling a tank with gasoline</t>
  </si>
  <si>
    <t>.5 is filling a clean tank with gasoline</t>
  </si>
  <si>
    <t>Therefore the leftover gasoline vapors in a tank must be the 0.1!!!!!</t>
  </si>
  <si>
    <r>
      <t xml:space="preserve">  EF</t>
    </r>
    <r>
      <rPr>
        <b/>
        <vertAlign val="subscript"/>
        <sz val="11"/>
        <rFont val="Times New Roman"/>
        <family val="1"/>
      </rPr>
      <t>VOC</t>
    </r>
  </si>
  <si>
    <r>
      <t>EF</t>
    </r>
    <r>
      <rPr>
        <vertAlign val="subscript"/>
        <sz val="11"/>
        <rFont val="Times New Roman"/>
        <family val="1"/>
      </rPr>
      <t>gasoline</t>
    </r>
    <r>
      <rPr>
        <sz val="11"/>
        <rFont val="Times New Roman"/>
        <family val="1"/>
      </rPr>
      <t xml:space="preserve"> emission factors assumes S =S</t>
    </r>
    <r>
      <rPr>
        <vertAlign val="subscript"/>
        <sz val="11"/>
        <rFont val="Times New Roman"/>
        <family val="1"/>
      </rPr>
      <t>normal</t>
    </r>
    <r>
      <rPr>
        <sz val="11"/>
        <rFont val="Times New Roman"/>
        <family val="1"/>
      </rPr>
      <t xml:space="preserve"> - S</t>
    </r>
    <r>
      <rPr>
        <vertAlign val="subscript"/>
        <sz val="11"/>
        <rFont val="Times New Roman"/>
        <family val="1"/>
      </rPr>
      <t>clean cargo</t>
    </r>
    <r>
      <rPr>
        <sz val="11"/>
        <rFont val="Times New Roman"/>
        <family val="1"/>
      </rPr>
      <t xml:space="preserve"> and do not use the Liquid Mole Fraction (X) in the equations.  This represents gasoline vapors present in the truck prior to the loading of denatured ethanol.</t>
    </r>
  </si>
  <si>
    <t>(B)
VOC Emission Factor
(lbs VOC/Mgal)</t>
  </si>
  <si>
    <t>Ethanol Liquid Loadout: EP-XX</t>
  </si>
  <si>
    <t xml:space="preserve"> Hexanes</t>
  </si>
  <si>
    <t>Valero</t>
  </si>
  <si>
    <t>ConocoPhilips</t>
  </si>
  <si>
    <t>Oneok</t>
  </si>
  <si>
    <t>http://www.oneokpartners.com/~/media/ONEOK/SafetyDocs/Natural%20Gasoline.ashx</t>
  </si>
  <si>
    <t>Texon</t>
  </si>
  <si>
    <t>Devon</t>
  </si>
  <si>
    <t>http://www.epenergy.com/about/msds/A0048-Natural%20Gasoline.pdf</t>
  </si>
  <si>
    <t>elpaso</t>
  </si>
  <si>
    <t>AVERAGE</t>
  </si>
  <si>
    <t>References:</t>
  </si>
  <si>
    <t>Natural Gasoline (Denaturant) HAP Speciation Determination</t>
  </si>
  <si>
    <t>Gasoline HAP Speciation Determination</t>
  </si>
  <si>
    <t>Marathon</t>
  </si>
  <si>
    <t>Naphthalene</t>
  </si>
  <si>
    <t>Shell</t>
  </si>
  <si>
    <t>Styrene</t>
  </si>
  <si>
    <t>Citgo</t>
  </si>
  <si>
    <t>http://www.docs.citgo.com/msds_pi/UNLEAD.pdf</t>
  </si>
  <si>
    <t xml:space="preserve"> Styrene</t>
  </si>
  <si>
    <r>
      <t>Gasoline</t>
    </r>
    <r>
      <rPr>
        <b/>
        <vertAlign val="superscript"/>
        <sz val="11"/>
        <rFont val="Times New Roman"/>
        <family val="1"/>
      </rPr>
      <t>[1]</t>
    </r>
  </si>
  <si>
    <r>
      <t>Denaturant</t>
    </r>
    <r>
      <rPr>
        <b/>
        <vertAlign val="superscript"/>
        <sz val="11"/>
        <rFont val="Times New Roman"/>
        <family val="1"/>
      </rPr>
      <t>[2]</t>
    </r>
  </si>
  <si>
    <r>
      <rPr>
        <vertAlign val="superscript"/>
        <sz val="11"/>
        <rFont val="Times New Roman"/>
        <family val="1"/>
      </rPr>
      <t>[1]</t>
    </r>
    <r>
      <rPr>
        <sz val="11"/>
        <rFont val="Times New Roman"/>
        <family val="1"/>
      </rPr>
      <t xml:space="preserve"> Based on gasoline MSDS from Valero, Marathon, CITGO, and Shell</t>
    </r>
  </si>
  <si>
    <r>
      <t>Saturation Factors</t>
    </r>
    <r>
      <rPr>
        <sz val="11"/>
        <rFont val="Times New Roman"/>
        <family val="1"/>
      </rPr>
      <t xml:space="preserve"> (AP-42, Table 5.2-1)</t>
    </r>
  </si>
  <si>
    <t>This Tab is for reference.  
It is not intended to be included in our permitting documents however you may share the references with anybody that asks</t>
  </si>
  <si>
    <t>Transport Mechanism</t>
  </si>
  <si>
    <t>Denatured 
Ethanol Loaded Out
(Mgal/year)</t>
  </si>
  <si>
    <t>VOC Emissions
(tons/year)</t>
  </si>
  <si>
    <t>Max HAP Emissions
(ton/yr)</t>
  </si>
  <si>
    <t>Truck VOC EF
(lbs VOC/Mgal)</t>
  </si>
  <si>
    <t>Rail VOC EF
(lbs VOC/Mgal)</t>
  </si>
  <si>
    <t>Truck or Rail</t>
  </si>
  <si>
    <t>The gasoline vapors are assumed to be displaced by the denatured ethanol, for worst-case assumption.</t>
  </si>
  <si>
    <t>Sumation</t>
  </si>
  <si>
    <r>
      <rPr>
        <vertAlign val="superscript"/>
        <sz val="11"/>
        <rFont val="Times New Roman"/>
        <family val="1"/>
      </rPr>
      <t>[2]</t>
    </r>
    <r>
      <rPr>
        <sz val="11"/>
        <rFont val="Times New Roman"/>
        <family val="1"/>
      </rPr>
      <t xml:space="preserve"> Worst case natural gasoline MSDS from Valero, ConocoPhillips, Oneok, EnCana, Texon, Devon, and elpaso</t>
    </r>
  </si>
  <si>
    <t>Diesel HAP Speciation Determination</t>
  </si>
  <si>
    <t>Acetaldehyde</t>
  </si>
  <si>
    <t>Benzene</t>
  </si>
  <si>
    <t>Carbondisulfide</t>
  </si>
  <si>
    <t>Cumene</t>
  </si>
  <si>
    <t>Ethylbenzene</t>
  </si>
  <si>
    <t>Hexanes</t>
  </si>
  <si>
    <t>Methanol</t>
  </si>
  <si>
    <t>Toluene</t>
  </si>
  <si>
    <t>Xylene</t>
  </si>
  <si>
    <t>http://www.valero.com/V_MSDS/109%20-%20No.2%20Fuel%20Oil%20Rev%202.pdf</t>
  </si>
  <si>
    <t>http://www.marathonpetroleum.com/brand/content/documents/mpc/sds/0117MAR019.pdf</t>
  </si>
  <si>
    <t>http://www.docs.citgo.com/msds_pi/AG2FO.pdf</t>
  </si>
  <si>
    <t xml:space="preserve"> n-Hexanes</t>
  </si>
  <si>
    <t>http://www.epc.shell.com/Docs/GSAP_msds_00835405.PDF</t>
  </si>
  <si>
    <t>http://www.marathonpetroleum.com/brand/content/documents/mpc/sds/0127MAR019.pdf</t>
  </si>
  <si>
    <t xml:space="preserve"> n-Hexane</t>
  </si>
  <si>
    <t>http://www.conocophillips.com/sustainable-development/Documents/SMID_213_Natural%20Gasoline%20HTAG.pdf</t>
  </si>
  <si>
    <t>http://www.devonenergy.com/documents/DVN-NA-MSDS-10-Natural-Gasoline.pdf</t>
  </si>
  <si>
    <t>https://www.valero.com/en-us/Documents/OSHA_GHS_SDS/SDS%20US%20-%20502-GHS%20Natural%20Gasoline%205-14.pdf</t>
  </si>
  <si>
    <t>http://texonlp.com/SDS/SDS-Natural%20Gasoline.pdf</t>
  </si>
  <si>
    <t>https://www.valero.com/en-us/Documents/OSHA_GHS_SDS/SDS%20US%20-%20002-GHS%20UNLEADED%20GASOLINE%20Rev1%205-14.pdf</t>
  </si>
  <si>
    <t>Ethanol Truck Loadout Assumptions</t>
  </si>
  <si>
    <t>Ethanol Rail Loadout Assumptions</t>
  </si>
  <si>
    <t>NDEQ use ONLY!!!</t>
  </si>
  <si>
    <t>Gasoline Truck Loadout Assumptions (Gasoline loadout is TRUCK only).</t>
  </si>
  <si>
    <t>Assuming gasoline trucks are 'dedicated service'.</t>
  </si>
  <si>
    <t>Assuming 0.1 is vapor displacement from leftover gasoline in the truck after delivery to the facility.</t>
  </si>
  <si>
    <t>Truck loadout is assumed to be 'non-dedicated trucks', which previous load was unleaded gasoline.</t>
  </si>
  <si>
    <t>Rail loadout is assumed to be in 'dedicated' railcars, which previous load was denatured ethanol.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</si>
</sst>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"/>
    <numFmt numFmtId="166" formatCode="0.0000"/>
    <numFmt numFmtId="167" formatCode="0.00000000"/>
    <numFmt numFmtId="168" formatCode="m\o\n\th\ d\,\ yyyy"/>
    <numFmt numFmtId="169" formatCode="#.00"/>
    <numFmt numFmtId="170" formatCode="#."/>
  </numFmts>
  <fonts count="4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Arial MT"/>
    </font>
    <font>
      <sz val="11"/>
      <name val="Times New Roman"/>
      <family val="1"/>
    </font>
    <font>
      <u/>
      <sz val="11"/>
      <name val="Times New Roman"/>
      <family val="1"/>
    </font>
    <font>
      <vertAlign val="superscript"/>
      <sz val="11"/>
      <name val="Times New Roman"/>
      <family val="1"/>
    </font>
    <font>
      <vertAlign val="subscript"/>
      <sz val="11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Helv"/>
    </font>
    <font>
      <sz val="9"/>
      <name val="Times New Roman"/>
      <family val="1"/>
    </font>
    <font>
      <sz val="11"/>
      <name val="Arial"/>
      <family val="2"/>
    </font>
    <font>
      <b/>
      <vertAlign val="subscript"/>
      <sz val="11"/>
      <name val="Times New Roman"/>
      <family val="1"/>
    </font>
    <font>
      <sz val="10"/>
      <color rgb="FFFF0000"/>
      <name val="Times New Roman"/>
      <family val="1"/>
    </font>
    <font>
      <b/>
      <sz val="10"/>
      <name val="Arial"/>
      <family val="2"/>
    </font>
    <font>
      <b/>
      <vertAlign val="superscript"/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color theme="1"/>
      <name val="Times New Rom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u/>
      <sz val="1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0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0" fontId="8" fillId="0" borderId="0"/>
    <xf numFmtId="0" fontId="15" fillId="4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170" fontId="13" fillId="0" borderId="24">
      <protection locked="0"/>
    </xf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8" fillId="0" borderId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4" borderId="0" applyNumberFormat="0" applyBorder="0" applyAlignment="0" applyProtection="0"/>
    <xf numFmtId="0" fontId="31" fillId="9" borderId="0" applyNumberFormat="0" applyBorder="0" applyAlignment="0" applyProtection="0"/>
    <xf numFmtId="0" fontId="32" fillId="25" borderId="25" applyNumberFormat="0" applyAlignment="0" applyProtection="0"/>
    <xf numFmtId="0" fontId="33" fillId="26" borderId="26" applyNumberFormat="0" applyAlignment="0" applyProtection="0"/>
    <xf numFmtId="0" fontId="34" fillId="0" borderId="0" applyNumberFormat="0" applyFill="0" applyBorder="0" applyAlignment="0" applyProtection="0"/>
    <xf numFmtId="0" fontId="35" fillId="10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0" fontId="39" fillId="13" borderId="25" applyNumberFormat="0" applyAlignment="0" applyProtection="0"/>
    <xf numFmtId="0" fontId="40" fillId="0" borderId="30" applyNumberFormat="0" applyFill="0" applyAlignment="0" applyProtection="0"/>
    <xf numFmtId="0" fontId="41" fillId="27" borderId="0" applyNumberFormat="0" applyBorder="0" applyAlignment="0" applyProtection="0"/>
    <xf numFmtId="0" fontId="2" fillId="28" borderId="31" applyNumberFormat="0" applyFont="0" applyAlignment="0" applyProtection="0"/>
    <xf numFmtId="0" fontId="42" fillId="25" borderId="32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3" fillId="26" borderId="26" applyNumberFormat="0" applyAlignment="0" applyProtection="0"/>
    <xf numFmtId="0" fontId="40" fillId="0" borderId="30" applyNumberFormat="0" applyFill="0" applyAlignment="0" applyProtection="0"/>
    <xf numFmtId="0" fontId="32" fillId="25" borderId="25" applyNumberFormat="0" applyAlignment="0" applyProtection="0"/>
    <xf numFmtId="0" fontId="39" fillId="13" borderId="25" applyNumberFormat="0" applyAlignment="0" applyProtection="0"/>
    <xf numFmtId="0" fontId="40" fillId="0" borderId="30" applyNumberFormat="0" applyFill="0" applyAlignment="0" applyProtection="0"/>
    <xf numFmtId="0" fontId="2" fillId="28" borderId="31" applyNumberFormat="0" applyFont="0" applyAlignment="0" applyProtection="0"/>
    <xf numFmtId="0" fontId="42" fillId="25" borderId="32" applyNumberFormat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3" fillId="26" borderId="26" applyNumberFormat="0" applyAlignment="0" applyProtection="0"/>
    <xf numFmtId="0" fontId="40" fillId="0" borderId="30" applyNumberFormat="0" applyFill="0" applyAlignment="0" applyProtection="0"/>
    <xf numFmtId="0" fontId="33" fillId="26" borderId="26" applyNumberFormat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2" fillId="25" borderId="25" applyNumberFormat="0" applyAlignment="0" applyProtection="0"/>
    <xf numFmtId="0" fontId="39" fillId="13" borderId="25" applyNumberFormat="0" applyAlignment="0" applyProtection="0"/>
    <xf numFmtId="0" fontId="2" fillId="28" borderId="31" applyNumberFormat="0" applyFont="0" applyAlignment="0" applyProtection="0"/>
    <xf numFmtId="0" fontId="42" fillId="25" borderId="32" applyNumberFormat="0" applyAlignment="0" applyProtection="0"/>
  </cellStyleXfs>
  <cellXfs count="190">
    <xf numFmtId="0" fontId="0" fillId="0" borderId="0" xfId="0"/>
    <xf numFmtId="0" fontId="9" fillId="0" borderId="0" xfId="1" applyFont="1"/>
    <xf numFmtId="4" fontId="9" fillId="0" borderId="0" xfId="1" applyNumberFormat="1" applyFont="1" applyFill="1" applyAlignment="1">
      <alignment horizontal="center"/>
    </xf>
    <xf numFmtId="0" fontId="9" fillId="0" borderId="0" xfId="1" applyFont="1" applyFill="1"/>
    <xf numFmtId="0" fontId="4" fillId="0" borderId="0" xfId="1" applyFont="1"/>
    <xf numFmtId="4" fontId="9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/>
    <xf numFmtId="0" fontId="9" fillId="0" borderId="1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9" fillId="0" borderId="4" xfId="1" applyFont="1" applyBorder="1"/>
    <xf numFmtId="0" fontId="9" fillId="0" borderId="7" xfId="1" applyFont="1" applyBorder="1"/>
    <xf numFmtId="0" fontId="9" fillId="0" borderId="10" xfId="1" applyFont="1" applyBorder="1"/>
    <xf numFmtId="0" fontId="7" fillId="0" borderId="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9" fillId="0" borderId="4" xfId="1" applyFont="1" applyFill="1" applyBorder="1"/>
    <xf numFmtId="0" fontId="9" fillId="0" borderId="5" xfId="2" applyFont="1" applyFill="1" applyBorder="1" applyAlignment="1">
      <alignment horizontal="center"/>
    </xf>
    <xf numFmtId="0" fontId="9" fillId="0" borderId="6" xfId="2" applyFont="1" applyFill="1" applyBorder="1" applyAlignment="1">
      <alignment horizontal="center"/>
    </xf>
    <xf numFmtId="0" fontId="9" fillId="0" borderId="7" xfId="1" applyFont="1" applyFill="1" applyBorder="1"/>
    <xf numFmtId="0" fontId="9" fillId="0" borderId="8" xfId="2" applyFont="1" applyFill="1" applyBorder="1" applyAlignment="1">
      <alignment horizontal="center"/>
    </xf>
    <xf numFmtId="0" fontId="9" fillId="0" borderId="9" xfId="2" applyFont="1" applyFill="1" applyBorder="1" applyAlignment="1">
      <alignment horizontal="center"/>
    </xf>
    <xf numFmtId="0" fontId="9" fillId="0" borderId="10" xfId="1" applyFont="1" applyFill="1" applyBorder="1"/>
    <xf numFmtId="0" fontId="9" fillId="0" borderId="11" xfId="1" applyFont="1" applyBorder="1" applyAlignment="1">
      <alignment horizontal="center"/>
    </xf>
    <xf numFmtId="2" fontId="9" fillId="0" borderId="11" xfId="2" applyNumberFormat="1" applyFont="1" applyBorder="1" applyAlignment="1">
      <alignment horizontal="center"/>
    </xf>
    <xf numFmtId="2" fontId="9" fillId="0" borderId="12" xfId="1" applyNumberFormat="1" applyFont="1" applyBorder="1" applyAlignment="1">
      <alignment horizontal="center"/>
    </xf>
    <xf numFmtId="0" fontId="9" fillId="0" borderId="0" xfId="1" applyFont="1" applyFill="1" applyBorder="1"/>
    <xf numFmtId="0" fontId="9" fillId="0" borderId="0" xfId="1" applyFont="1" applyBorder="1" applyAlignment="1">
      <alignment horizontal="center"/>
    </xf>
    <xf numFmtId="2" fontId="9" fillId="0" borderId="0" xfId="1" applyNumberFormat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11" fontId="9" fillId="0" borderId="8" xfId="2" applyNumberFormat="1" applyFont="1" applyFill="1" applyBorder="1" applyAlignment="1">
      <alignment horizontal="center"/>
    </xf>
    <xf numFmtId="11" fontId="9" fillId="0" borderId="11" xfId="1" applyNumberFormat="1" applyFont="1" applyFill="1" applyBorder="1" applyAlignment="1">
      <alignment horizontal="center"/>
    </xf>
    <xf numFmtId="0" fontId="7" fillId="0" borderId="0" xfId="1" applyFont="1"/>
    <xf numFmtId="0" fontId="9" fillId="0" borderId="0" xfId="1" applyFont="1" applyBorder="1"/>
    <xf numFmtId="0" fontId="7" fillId="0" borderId="2" xfId="1" applyFont="1" applyBorder="1" applyAlignment="1">
      <alignment horizontal="center" vertical="center" wrapText="1"/>
    </xf>
    <xf numFmtId="165" fontId="9" fillId="0" borderId="5" xfId="2" applyNumberFormat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165" fontId="9" fillId="0" borderId="8" xfId="2" applyNumberFormat="1" applyFont="1" applyBorder="1" applyAlignment="1">
      <alignment horizontal="center"/>
    </xf>
    <xf numFmtId="166" fontId="9" fillId="0" borderId="9" xfId="1" applyNumberFormat="1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166" fontId="9" fillId="0" borderId="12" xfId="1" applyNumberFormat="1" applyFont="1" applyBorder="1" applyAlignment="1">
      <alignment horizontal="center"/>
    </xf>
    <xf numFmtId="0" fontId="4" fillId="0" borderId="0" xfId="1" applyFont="1" applyBorder="1"/>
    <xf numFmtId="0" fontId="9" fillId="0" borderId="0" xfId="1" applyFont="1" applyBorder="1" applyAlignment="1">
      <alignment horizontal="left" vertical="center"/>
    </xf>
    <xf numFmtId="0" fontId="7" fillId="0" borderId="0" xfId="1" applyFont="1" applyBorder="1"/>
    <xf numFmtId="0" fontId="7" fillId="0" borderId="1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/>
    </xf>
    <xf numFmtId="2" fontId="9" fillId="3" borderId="5" xfId="1" applyNumberFormat="1" applyFont="1" applyFill="1" applyBorder="1" applyAlignment="1">
      <alignment horizontal="center" vertical="center" wrapText="1"/>
    </xf>
    <xf numFmtId="167" fontId="9" fillId="0" borderId="0" xfId="1" applyNumberFormat="1" applyFont="1" applyBorder="1"/>
    <xf numFmtId="0" fontId="7" fillId="0" borderId="4" xfId="1" applyFont="1" applyBorder="1" applyAlignment="1">
      <alignment horizontal="left" vertical="center" wrapText="1"/>
    </xf>
    <xf numFmtId="165" fontId="9" fillId="2" borderId="5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11" fontId="9" fillId="0" borderId="14" xfId="1" applyNumberFormat="1" applyFont="1" applyBorder="1" applyAlignment="1">
      <alignment horizontal="center"/>
    </xf>
    <xf numFmtId="11" fontId="9" fillId="0" borderId="19" xfId="1" applyNumberFormat="1" applyFont="1" applyBorder="1" applyAlignment="1">
      <alignment horizontal="center"/>
    </xf>
    <xf numFmtId="0" fontId="9" fillId="0" borderId="20" xfId="1" applyFont="1" applyBorder="1"/>
    <xf numFmtId="2" fontId="9" fillId="0" borderId="18" xfId="1" applyNumberFormat="1" applyFont="1" applyBorder="1" applyAlignment="1">
      <alignment horizontal="center"/>
    </xf>
    <xf numFmtId="166" fontId="9" fillId="0" borderId="4" xfId="3" applyNumberFormat="1" applyFont="1" applyFill="1" applyBorder="1" applyAlignment="1">
      <alignment horizontal="left" vertical="center"/>
    </xf>
    <xf numFmtId="0" fontId="9" fillId="2" borderId="9" xfId="1" applyFont="1" applyFill="1" applyBorder="1"/>
    <xf numFmtId="0" fontId="3" fillId="0" borderId="0" xfId="24" applyFont="1" applyFill="1"/>
    <xf numFmtId="0" fontId="4" fillId="0" borderId="0" xfId="24" applyFont="1"/>
    <xf numFmtId="0" fontId="4" fillId="0" borderId="0" xfId="24" applyNumberFormat="1" applyFont="1"/>
    <xf numFmtId="2" fontId="4" fillId="0" borderId="0" xfId="24" applyNumberFormat="1" applyFont="1"/>
    <xf numFmtId="0" fontId="4" fillId="0" borderId="0" xfId="24" applyFont="1" applyBorder="1"/>
    <xf numFmtId="0" fontId="5" fillId="0" borderId="0" xfId="20" applyFont="1" applyFill="1"/>
    <xf numFmtId="0" fontId="4" fillId="0" borderId="0" xfId="0" applyFont="1" applyFill="1"/>
    <xf numFmtId="0" fontId="4" fillId="0" borderId="0" xfId="0" applyFont="1"/>
    <xf numFmtId="0" fontId="4" fillId="0" borderId="0" xfId="1" applyFont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164" fontId="9" fillId="0" borderId="12" xfId="1" applyNumberFormat="1" applyFont="1" applyBorder="1" applyAlignment="1">
      <alignment horizontal="center"/>
    </xf>
    <xf numFmtId="0" fontId="11" fillId="0" borderId="0" xfId="1" applyFont="1" applyFill="1" applyBorder="1"/>
    <xf numFmtId="2" fontId="9" fillId="0" borderId="0" xfId="2" applyNumberFormat="1" applyFont="1" applyBorder="1" applyAlignment="1">
      <alignment horizontal="center"/>
    </xf>
    <xf numFmtId="0" fontId="11" fillId="0" borderId="0" xfId="1" applyFont="1"/>
    <xf numFmtId="165" fontId="9" fillId="0" borderId="6" xfId="2" applyNumberFormat="1" applyFont="1" applyBorder="1" applyAlignment="1">
      <alignment horizontal="center"/>
    </xf>
    <xf numFmtId="166" fontId="9" fillId="0" borderId="4" xfId="1" applyNumberFormat="1" applyFont="1" applyBorder="1" applyAlignment="1">
      <alignment horizontal="center"/>
    </xf>
    <xf numFmtId="165" fontId="9" fillId="0" borderId="9" xfId="2" applyNumberFormat="1" applyFont="1" applyBorder="1" applyAlignment="1">
      <alignment horizontal="center"/>
    </xf>
    <xf numFmtId="166" fontId="9" fillId="0" borderId="7" xfId="1" applyNumberFormat="1" applyFont="1" applyBorder="1" applyAlignment="1">
      <alignment horizontal="center"/>
    </xf>
    <xf numFmtId="165" fontId="9" fillId="0" borderId="12" xfId="1" applyNumberFormat="1" applyFont="1" applyBorder="1" applyAlignment="1">
      <alignment horizontal="center"/>
    </xf>
    <xf numFmtId="166" fontId="9" fillId="0" borderId="10" xfId="1" applyNumberFormat="1" applyFont="1" applyBorder="1" applyAlignment="1">
      <alignment horizontal="center"/>
    </xf>
    <xf numFmtId="0" fontId="16" fillId="0" borderId="0" xfId="1" applyFont="1" applyBorder="1" applyAlignment="1">
      <alignment horizontal="left" vertical="center"/>
    </xf>
    <xf numFmtId="0" fontId="9" fillId="5" borderId="7" xfId="3" applyFont="1" applyFill="1" applyBorder="1" applyAlignment="1">
      <alignment horizontal="left"/>
    </xf>
    <xf numFmtId="11" fontId="9" fillId="6" borderId="8" xfId="2" applyNumberFormat="1" applyFont="1" applyFill="1" applyBorder="1" applyAlignment="1">
      <alignment horizontal="center"/>
    </xf>
    <xf numFmtId="11" fontId="9" fillId="6" borderId="9" xfId="2" applyNumberFormat="1" applyFont="1" applyFill="1" applyBorder="1" applyAlignment="1">
      <alignment horizontal="center"/>
    </xf>
    <xf numFmtId="0" fontId="7" fillId="0" borderId="10" xfId="1" applyFont="1" applyBorder="1"/>
    <xf numFmtId="0" fontId="19" fillId="0" borderId="0" xfId="1" applyFont="1"/>
    <xf numFmtId="3" fontId="9" fillId="2" borderId="5" xfId="1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 wrapText="1"/>
    </xf>
    <xf numFmtId="0" fontId="9" fillId="0" borderId="0" xfId="1" applyNumberFormat="1" applyFont="1"/>
    <xf numFmtId="0" fontId="20" fillId="0" borderId="0" xfId="0" applyFont="1"/>
    <xf numFmtId="0" fontId="7" fillId="0" borderId="0" xfId="1" applyFont="1" applyFill="1" applyBorder="1"/>
    <xf numFmtId="2" fontId="20" fillId="0" borderId="0" xfId="0" applyNumberFormat="1" applyFont="1"/>
    <xf numFmtId="11" fontId="9" fillId="0" borderId="0" xfId="1" applyNumberFormat="1" applyFont="1" applyFill="1" applyBorder="1" applyAlignment="1">
      <alignment horizontal="center"/>
    </xf>
    <xf numFmtId="11" fontId="9" fillId="0" borderId="5" xfId="2" applyNumberFormat="1" applyFont="1" applyFill="1" applyBorder="1" applyAlignment="1">
      <alignment horizontal="center"/>
    </xf>
    <xf numFmtId="1" fontId="9" fillId="0" borderId="8" xfId="2" applyNumberFormat="1" applyFont="1" applyFill="1" applyBorder="1" applyAlignment="1">
      <alignment horizontal="center"/>
    </xf>
    <xf numFmtId="1" fontId="9" fillId="6" borderId="5" xfId="2" applyNumberFormat="1" applyFont="1" applyFill="1" applyBorder="1" applyAlignment="1">
      <alignment horizontal="center"/>
    </xf>
    <xf numFmtId="1" fontId="9" fillId="6" borderId="8" xfId="2" applyNumberFormat="1" applyFont="1" applyFill="1" applyBorder="1" applyAlignment="1">
      <alignment horizontal="center"/>
    </xf>
    <xf numFmtId="1" fontId="9" fillId="6" borderId="6" xfId="2" applyNumberFormat="1" applyFont="1" applyFill="1" applyBorder="1" applyAlignment="1">
      <alignment horizontal="center"/>
    </xf>
    <xf numFmtId="1" fontId="9" fillId="6" borderId="9" xfId="2" applyNumberFormat="1" applyFont="1" applyFill="1" applyBorder="1" applyAlignment="1">
      <alignment horizontal="center"/>
    </xf>
    <xf numFmtId="2" fontId="9" fillId="6" borderId="8" xfId="2" applyNumberFormat="1" applyFont="1" applyFill="1" applyBorder="1" applyAlignment="1">
      <alignment horizontal="center"/>
    </xf>
    <xf numFmtId="2" fontId="9" fillId="6" borderId="11" xfId="1" applyNumberFormat="1" applyFont="1" applyFill="1" applyBorder="1" applyAlignment="1">
      <alignment horizontal="center"/>
    </xf>
    <xf numFmtId="2" fontId="9" fillId="6" borderId="9" xfId="2" applyNumberFormat="1" applyFont="1" applyFill="1" applyBorder="1" applyAlignment="1">
      <alignment horizontal="center"/>
    </xf>
    <xf numFmtId="2" fontId="9" fillId="6" borderId="12" xfId="1" applyNumberFormat="1" applyFont="1" applyFill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 wrapText="1"/>
    </xf>
    <xf numFmtId="0" fontId="0" fillId="6" borderId="0" xfId="0" applyFill="1"/>
    <xf numFmtId="0" fontId="27" fillId="6" borderId="0" xfId="0" applyFont="1" applyFill="1" applyAlignment="1"/>
    <xf numFmtId="11" fontId="9" fillId="0" borderId="20" xfId="1" applyNumberFormat="1" applyFont="1" applyBorder="1"/>
    <xf numFmtId="4" fontId="9" fillId="0" borderId="5" xfId="1" applyNumberFormat="1" applyFont="1" applyBorder="1" applyAlignment="1">
      <alignment horizontal="center"/>
    </xf>
    <xf numFmtId="0" fontId="9" fillId="2" borderId="8" xfId="1" applyFont="1" applyFill="1" applyBorder="1"/>
    <xf numFmtId="11" fontId="9" fillId="0" borderId="8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11" fontId="9" fillId="0" borderId="11" xfId="1" applyNumberFormat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1" fontId="9" fillId="0" borderId="5" xfId="2" applyNumberFormat="1" applyFont="1" applyFill="1" applyBorder="1" applyAlignment="1">
      <alignment horizontal="center"/>
    </xf>
    <xf numFmtId="1" fontId="9" fillId="0" borderId="6" xfId="2" applyNumberFormat="1" applyFont="1" applyFill="1" applyBorder="1" applyAlignment="1">
      <alignment horizontal="center"/>
    </xf>
    <xf numFmtId="11" fontId="9" fillId="0" borderId="9" xfId="2" applyNumberFormat="1" applyFont="1" applyFill="1" applyBorder="1" applyAlignment="1">
      <alignment horizontal="center"/>
    </xf>
    <xf numFmtId="1" fontId="9" fillId="0" borderId="9" xfId="2" applyNumberFormat="1" applyFont="1" applyFill="1" applyBorder="1" applyAlignment="1">
      <alignment horizontal="center"/>
    </xf>
    <xf numFmtId="2" fontId="9" fillId="0" borderId="8" xfId="2" applyNumberFormat="1" applyFont="1" applyFill="1" applyBorder="1" applyAlignment="1">
      <alignment horizontal="center"/>
    </xf>
    <xf numFmtId="2" fontId="9" fillId="0" borderId="9" xfId="2" applyNumberFormat="1" applyFont="1" applyFill="1" applyBorder="1" applyAlignment="1">
      <alignment horizontal="center"/>
    </xf>
    <xf numFmtId="2" fontId="9" fillId="0" borderId="11" xfId="1" applyNumberFormat="1" applyFont="1" applyFill="1" applyBorder="1" applyAlignment="1">
      <alignment horizontal="center"/>
    </xf>
    <xf numFmtId="2" fontId="9" fillId="0" borderId="12" xfId="1" applyNumberFormat="1" applyFont="1" applyFill="1" applyBorder="1" applyAlignment="1">
      <alignment horizontal="center"/>
    </xf>
    <xf numFmtId="11" fontId="9" fillId="0" borderId="5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 vertical="center" wrapText="1"/>
    </xf>
    <xf numFmtId="166" fontId="9" fillId="0" borderId="5" xfId="1" applyNumberFormat="1" applyFont="1" applyBorder="1" applyAlignment="1">
      <alignment horizontal="center"/>
    </xf>
    <xf numFmtId="166" fontId="9" fillId="0" borderId="8" xfId="1" applyNumberFormat="1" applyFont="1" applyBorder="1" applyAlignment="1">
      <alignment horizontal="center"/>
    </xf>
    <xf numFmtId="166" fontId="9" fillId="0" borderId="1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3" fontId="9" fillId="0" borderId="10" xfId="1" applyNumberFormat="1" applyFont="1" applyFill="1" applyBorder="1" applyAlignment="1">
      <alignment horizontal="center" vertical="center" wrapText="1"/>
    </xf>
    <xf numFmtId="166" fontId="9" fillId="0" borderId="11" xfId="1" applyNumberFormat="1" applyFont="1" applyFill="1" applyBorder="1" applyAlignment="1">
      <alignment horizontal="center" vertical="center" wrapText="1"/>
    </xf>
    <xf numFmtId="2" fontId="9" fillId="0" borderId="11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/>
    </xf>
    <xf numFmtId="0" fontId="7" fillId="0" borderId="23" xfId="1" applyFont="1" applyFill="1" applyBorder="1"/>
    <xf numFmtId="0" fontId="0" fillId="0" borderId="0" xfId="0"/>
    <xf numFmtId="0" fontId="9" fillId="0" borderId="0" xfId="1" applyFont="1" applyBorder="1"/>
    <xf numFmtId="0" fontId="1" fillId="0" borderId="0" xfId="28"/>
    <xf numFmtId="0" fontId="20" fillId="0" borderId="0" xfId="28" applyFont="1"/>
    <xf numFmtId="0" fontId="7" fillId="0" borderId="0" xfId="1" applyFont="1" applyFill="1" applyBorder="1"/>
    <xf numFmtId="0" fontId="1" fillId="0" borderId="8" xfId="28" applyBorder="1" applyAlignment="1">
      <alignment horizontal="center" vertical="center"/>
    </xf>
    <xf numFmtId="2" fontId="20" fillId="0" borderId="8" xfId="28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4" fillId="0" borderId="0" xfId="26" applyAlignment="1" applyProtection="1"/>
    <xf numFmtId="165" fontId="9" fillId="29" borderId="5" xfId="2" applyNumberFormat="1" applyFont="1" applyFill="1" applyBorder="1" applyAlignment="1">
      <alignment horizontal="center"/>
    </xf>
    <xf numFmtId="165" fontId="9" fillId="29" borderId="8" xfId="2" applyNumberFormat="1" applyFont="1" applyFill="1" applyBorder="1" applyAlignment="1">
      <alignment horizontal="center"/>
    </xf>
    <xf numFmtId="165" fontId="9" fillId="29" borderId="11" xfId="1" applyNumberFormat="1" applyFont="1" applyFill="1" applyBorder="1" applyAlignment="1">
      <alignment horizontal="center"/>
    </xf>
    <xf numFmtId="164" fontId="9" fillId="29" borderId="5" xfId="1" applyNumberFormat="1" applyFont="1" applyFill="1" applyBorder="1" applyAlignment="1">
      <alignment horizontal="center"/>
    </xf>
    <xf numFmtId="164" fontId="9" fillId="29" borderId="6" xfId="1" applyNumberFormat="1" applyFont="1" applyFill="1" applyBorder="1" applyAlignment="1">
      <alignment horizontal="center"/>
    </xf>
    <xf numFmtId="164" fontId="9" fillId="29" borderId="8" xfId="1" applyNumberFormat="1" applyFont="1" applyFill="1" applyBorder="1" applyAlignment="1">
      <alignment horizontal="center"/>
    </xf>
    <xf numFmtId="164" fontId="9" fillId="29" borderId="9" xfId="1" applyNumberFormat="1" applyFont="1" applyFill="1" applyBorder="1" applyAlignment="1">
      <alignment horizontal="center"/>
    </xf>
    <xf numFmtId="0" fontId="9" fillId="6" borderId="7" xfId="1" applyFont="1" applyFill="1" applyBorder="1"/>
    <xf numFmtId="2" fontId="20" fillId="6" borderId="0" xfId="0" applyNumberFormat="1" applyFont="1" applyFill="1"/>
    <xf numFmtId="0" fontId="9" fillId="0" borderId="8" xfId="1" applyFont="1" applyBorder="1"/>
    <xf numFmtId="0" fontId="9" fillId="29" borderId="8" xfId="1" applyFont="1" applyFill="1" applyBorder="1"/>
    <xf numFmtId="0" fontId="0" fillId="0" borderId="8" xfId="0" applyBorder="1" applyAlignment="1">
      <alignment horizontal="center"/>
    </xf>
    <xf numFmtId="2" fontId="20" fillId="0" borderId="8" xfId="0" applyNumberFormat="1" applyFont="1" applyBorder="1" applyAlignment="1">
      <alignment horizontal="center"/>
    </xf>
    <xf numFmtId="0" fontId="0" fillId="29" borderId="8" xfId="0" applyFill="1" applyBorder="1" applyAlignment="1">
      <alignment horizontal="center"/>
    </xf>
    <xf numFmtId="2" fontId="20" fillId="29" borderId="8" xfId="0" applyNumberFormat="1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7" fillId="0" borderId="6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2" fontId="9" fillId="0" borderId="11" xfId="1" applyNumberFormat="1" applyFon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166" fontId="7" fillId="0" borderId="4" xfId="3" applyNumberFormat="1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17" fillId="0" borderId="22" xfId="0" applyFont="1" applyBorder="1" applyAlignment="1"/>
    <xf numFmtId="2" fontId="9" fillId="0" borderId="17" xfId="1" applyNumberFormat="1" applyFont="1" applyBorder="1" applyAlignment="1">
      <alignment horizontal="center"/>
    </xf>
    <xf numFmtId="0" fontId="9" fillId="0" borderId="0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16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5" fillId="0" borderId="34" xfId="1" applyFont="1" applyBorder="1"/>
    <xf numFmtId="0" fontId="4" fillId="0" borderId="35" xfId="1" applyFont="1" applyBorder="1"/>
    <xf numFmtId="0" fontId="4" fillId="0" borderId="36" xfId="1" applyFont="1" applyBorder="1"/>
    <xf numFmtId="0" fontId="45" fillId="0" borderId="20" xfId="1" applyFont="1" applyBorder="1"/>
    <xf numFmtId="0" fontId="4" fillId="0" borderId="37" xfId="1" applyFont="1" applyBorder="1"/>
    <xf numFmtId="0" fontId="4" fillId="0" borderId="20" xfId="1" applyFont="1" applyBorder="1"/>
    <xf numFmtId="0" fontId="9" fillId="0" borderId="38" xfId="1" applyFont="1" applyFill="1" applyBorder="1"/>
    <xf numFmtId="0" fontId="4" fillId="0" borderId="33" xfId="1" applyFont="1" applyBorder="1"/>
    <xf numFmtId="0" fontId="4" fillId="0" borderId="1" xfId="1" applyFont="1" applyBorder="1"/>
  </cellXfs>
  <cellStyles count="201">
    <cellStyle name="_Digitized Data" xfId="4"/>
    <cellStyle name="_Digitized Data 2" xfId="34"/>
    <cellStyle name="_Digitized Data_75073F05" xfId="35"/>
    <cellStyle name="_Sheet1" xfId="5"/>
    <cellStyle name="_Sheet1 2" xfId="36"/>
    <cellStyle name="_Sheet1_75073F05" xfId="37"/>
    <cellStyle name="20% - Accent1 2" xfId="44"/>
    <cellStyle name="20% - Accent2 2" xfId="45"/>
    <cellStyle name="20% - Accent3 2" xfId="46"/>
    <cellStyle name="20% - Accent4 2" xfId="47"/>
    <cellStyle name="20% - Accent5 2" xfId="48"/>
    <cellStyle name="20% - Accent6 2" xfId="49"/>
    <cellStyle name="40% - Accent1 2" xfId="50"/>
    <cellStyle name="40% - Accent2 2" xfId="51"/>
    <cellStyle name="40% - Accent3 2" xfId="52"/>
    <cellStyle name="40% - Accent4 2" xfId="53"/>
    <cellStyle name="40% - Accent5 2" xfId="54"/>
    <cellStyle name="40% - Accent6 2" xfId="43"/>
    <cellStyle name="60% - Accent1 2" xfId="55"/>
    <cellStyle name="60% - Accent2 2" xfId="56"/>
    <cellStyle name="60% - Accent3 2" xfId="57"/>
    <cellStyle name="60% - Accent4 2" xfId="58"/>
    <cellStyle name="60% - Accent5 2" xfId="59"/>
    <cellStyle name="60% - Accent6 2" xfId="60"/>
    <cellStyle name="Accent1 2" xfId="61"/>
    <cellStyle name="Accent2 2" xfId="62"/>
    <cellStyle name="Accent3 2" xfId="63"/>
    <cellStyle name="Accent4 2" xfId="64"/>
    <cellStyle name="Accent5 2" xfId="65"/>
    <cellStyle name="Accent6 2" xfId="66"/>
    <cellStyle name="Bad 2" xfId="67"/>
    <cellStyle name="Calculation 2" xfId="68"/>
    <cellStyle name="Calculation 2 2" xfId="87"/>
    <cellStyle name="Calculation 2 2 2" xfId="197"/>
    <cellStyle name="Check Cell 2" xfId="69"/>
    <cellStyle name="Check Cell 2 2" xfId="85"/>
    <cellStyle name="Check Cell 2 2 2" xfId="163"/>
    <cellStyle name="Check Cell 2 3" xfId="161"/>
    <cellStyle name="Comma 2" xfId="124"/>
    <cellStyle name="Currency 2" xfId="6"/>
    <cellStyle name="Date" xfId="7"/>
    <cellStyle name="Explanatory Text 2" xfId="70"/>
    <cellStyle name="Fixed" xfId="8"/>
    <cellStyle name="Good 2" xfId="71"/>
    <cellStyle name="Heading 1 2" xfId="72"/>
    <cellStyle name="Heading 2 2" xfId="73"/>
    <cellStyle name="Heading 3 2" xfId="74"/>
    <cellStyle name="Heading 4 2" xfId="75"/>
    <cellStyle name="Heading1" xfId="9"/>
    <cellStyle name="Heading2" xfId="10"/>
    <cellStyle name="Hyperlink" xfId="26" builtinId="8"/>
    <cellStyle name="Input 2" xfId="76"/>
    <cellStyle name="Input 2 2" xfId="88"/>
    <cellStyle name="Input 2 2 2" xfId="198"/>
    <cellStyle name="Linked Cell 2" xfId="77"/>
    <cellStyle name="Linked Cell 2 10" xfId="98"/>
    <cellStyle name="Linked Cell 2 10 2" xfId="136"/>
    <cellStyle name="Linked Cell 2 10 3" xfId="172"/>
    <cellStyle name="Linked Cell 2 11" xfId="99"/>
    <cellStyle name="Linked Cell 2 11 2" xfId="137"/>
    <cellStyle name="Linked Cell 2 11 3" xfId="173"/>
    <cellStyle name="Linked Cell 2 2" xfId="86"/>
    <cellStyle name="Linked Cell 2 2 2" xfId="106"/>
    <cellStyle name="Linked Cell 2 2 2 2" xfId="144"/>
    <cellStyle name="Linked Cell 2 2 2 3" xfId="180"/>
    <cellStyle name="Linked Cell 2 2 3" xfId="110"/>
    <cellStyle name="Linked Cell 2 2 3 2" xfId="148"/>
    <cellStyle name="Linked Cell 2 2 3 3" xfId="184"/>
    <cellStyle name="Linked Cell 2 2 4" xfId="103"/>
    <cellStyle name="Linked Cell 2 2 4 2" xfId="141"/>
    <cellStyle name="Linked Cell 2 2 4 3" xfId="177"/>
    <cellStyle name="Linked Cell 2 2 5" xfId="113"/>
    <cellStyle name="Linked Cell 2 2 5 2" xfId="151"/>
    <cellStyle name="Linked Cell 2 2 5 3" xfId="187"/>
    <cellStyle name="Linked Cell 2 2 6" xfId="117"/>
    <cellStyle name="Linked Cell 2 2 6 2" xfId="155"/>
    <cellStyle name="Linked Cell 2 2 6 3" xfId="191"/>
    <cellStyle name="Linked Cell 2 2 7" xfId="128"/>
    <cellStyle name="Linked Cell 2 2 8" xfId="164"/>
    <cellStyle name="Linked Cell 2 3" xfId="83"/>
    <cellStyle name="Linked Cell 2 3 2" xfId="104"/>
    <cellStyle name="Linked Cell 2 3 2 2" xfId="142"/>
    <cellStyle name="Linked Cell 2 3 2 3" xfId="178"/>
    <cellStyle name="Linked Cell 2 3 3" xfId="95"/>
    <cellStyle name="Linked Cell 2 3 3 2" xfId="133"/>
    <cellStyle name="Linked Cell 2 3 3 3" xfId="169"/>
    <cellStyle name="Linked Cell 2 3 4" xfId="94"/>
    <cellStyle name="Linked Cell 2 3 4 2" xfId="132"/>
    <cellStyle name="Linked Cell 2 3 4 3" xfId="168"/>
    <cellStyle name="Linked Cell 2 3 5" xfId="96"/>
    <cellStyle name="Linked Cell 2 3 5 2" xfId="134"/>
    <cellStyle name="Linked Cell 2 3 5 3" xfId="170"/>
    <cellStyle name="Linked Cell 2 3 6" xfId="102"/>
    <cellStyle name="Linked Cell 2 3 6 2" xfId="140"/>
    <cellStyle name="Linked Cell 2 3 6 3" xfId="176"/>
    <cellStyle name="Linked Cell 2 3 7" xfId="126"/>
    <cellStyle name="Linked Cell 2 3 8" xfId="162"/>
    <cellStyle name="Linked Cell 2 4" xfId="89"/>
    <cellStyle name="Linked Cell 2 4 2" xfId="107"/>
    <cellStyle name="Linked Cell 2 4 2 2" xfId="145"/>
    <cellStyle name="Linked Cell 2 4 2 3" xfId="181"/>
    <cellStyle name="Linked Cell 2 4 3" xfId="111"/>
    <cellStyle name="Linked Cell 2 4 3 2" xfId="149"/>
    <cellStyle name="Linked Cell 2 4 3 3" xfId="185"/>
    <cellStyle name="Linked Cell 2 4 4" xfId="115"/>
    <cellStyle name="Linked Cell 2 4 4 2" xfId="153"/>
    <cellStyle name="Linked Cell 2 4 4 3" xfId="189"/>
    <cellStyle name="Linked Cell 2 4 5" xfId="119"/>
    <cellStyle name="Linked Cell 2 4 5 2" xfId="157"/>
    <cellStyle name="Linked Cell 2 4 5 3" xfId="193"/>
    <cellStyle name="Linked Cell 2 4 6" xfId="121"/>
    <cellStyle name="Linked Cell 2 4 6 2" xfId="159"/>
    <cellStyle name="Linked Cell 2 4 6 3" xfId="195"/>
    <cellStyle name="Linked Cell 2 4 7" xfId="129"/>
    <cellStyle name="Linked Cell 2 4 8" xfId="165"/>
    <cellStyle name="Linked Cell 2 5" xfId="84"/>
    <cellStyle name="Linked Cell 2 5 2" xfId="105"/>
    <cellStyle name="Linked Cell 2 5 2 2" xfId="143"/>
    <cellStyle name="Linked Cell 2 5 2 3" xfId="179"/>
    <cellStyle name="Linked Cell 2 5 3" xfId="109"/>
    <cellStyle name="Linked Cell 2 5 3 2" xfId="147"/>
    <cellStyle name="Linked Cell 2 5 3 3" xfId="183"/>
    <cellStyle name="Linked Cell 2 5 4" xfId="93"/>
    <cellStyle name="Linked Cell 2 5 4 2" xfId="131"/>
    <cellStyle name="Linked Cell 2 5 4 3" xfId="167"/>
    <cellStyle name="Linked Cell 2 5 5" xfId="112"/>
    <cellStyle name="Linked Cell 2 5 5 2" xfId="150"/>
    <cellStyle name="Linked Cell 2 5 5 3" xfId="186"/>
    <cellStyle name="Linked Cell 2 5 6" xfId="116"/>
    <cellStyle name="Linked Cell 2 5 6 2" xfId="154"/>
    <cellStyle name="Linked Cell 2 5 6 3" xfId="190"/>
    <cellStyle name="Linked Cell 2 5 7" xfId="127"/>
    <cellStyle name="Linked Cell 2 6" xfId="92"/>
    <cellStyle name="Linked Cell 2 6 2" xfId="108"/>
    <cellStyle name="Linked Cell 2 6 2 2" xfId="146"/>
    <cellStyle name="Linked Cell 2 6 2 3" xfId="182"/>
    <cellStyle name="Linked Cell 2 6 3" xfId="114"/>
    <cellStyle name="Linked Cell 2 6 3 2" xfId="152"/>
    <cellStyle name="Linked Cell 2 6 3 3" xfId="188"/>
    <cellStyle name="Linked Cell 2 6 4" xfId="118"/>
    <cellStyle name="Linked Cell 2 6 4 2" xfId="156"/>
    <cellStyle name="Linked Cell 2 6 4 3" xfId="192"/>
    <cellStyle name="Linked Cell 2 6 5" xfId="120"/>
    <cellStyle name="Linked Cell 2 6 5 2" xfId="158"/>
    <cellStyle name="Linked Cell 2 6 5 3" xfId="194"/>
    <cellStyle name="Linked Cell 2 6 6" xfId="122"/>
    <cellStyle name="Linked Cell 2 6 6 2" xfId="160"/>
    <cellStyle name="Linked Cell 2 6 6 3" xfId="196"/>
    <cellStyle name="Linked Cell 2 6 7" xfId="130"/>
    <cellStyle name="Linked Cell 2 6 8" xfId="166"/>
    <cellStyle name="Linked Cell 2 7" xfId="101"/>
    <cellStyle name="Linked Cell 2 7 2" xfId="139"/>
    <cellStyle name="Linked Cell 2 7 3" xfId="175"/>
    <cellStyle name="Linked Cell 2 8" xfId="97"/>
    <cellStyle name="Linked Cell 2 8 2" xfId="135"/>
    <cellStyle name="Linked Cell 2 8 3" xfId="171"/>
    <cellStyle name="Linked Cell 2 9" xfId="100"/>
    <cellStyle name="Linked Cell 2 9 2" xfId="138"/>
    <cellStyle name="Linked Cell 2 9 3" xfId="174"/>
    <cellStyle name="Neutral 2" xfId="78"/>
    <cellStyle name="Normal" xfId="0" builtinId="0"/>
    <cellStyle name="Normal - Style1" xfId="11"/>
    <cellStyle name="Normal - Style2" xfId="12"/>
    <cellStyle name="Normal - Style3" xfId="13"/>
    <cellStyle name="Normal - Style4" xfId="14"/>
    <cellStyle name="Normal - Style5" xfId="15"/>
    <cellStyle name="Normal - Style6" xfId="16"/>
    <cellStyle name="Normal 10" xfId="40"/>
    <cellStyle name="Normal 2" xfId="17"/>
    <cellStyle name="Normal 2 2" xfId="25"/>
    <cellStyle name="Normal 2 3" xfId="29"/>
    <cellStyle name="Normal 3" xfId="18"/>
    <cellStyle name="Normal 3 2" xfId="31"/>
    <cellStyle name="Normal 4" xfId="19"/>
    <cellStyle name="Normal 4 2" xfId="33"/>
    <cellStyle name="Normal 5" xfId="38"/>
    <cellStyle name="Normal 6" xfId="41"/>
    <cellStyle name="Normal 7" xfId="42"/>
    <cellStyle name="Normal 8" xfId="125"/>
    <cellStyle name="Normal 9" xfId="28"/>
    <cellStyle name="Normal_88625F02 2" xfId="24"/>
    <cellStyle name="Normal_External Combustion" xfId="20"/>
    <cellStyle name="Normal_Liquid Loading" xfId="1"/>
    <cellStyle name="Normal_Saras" xfId="2"/>
    <cellStyle name="Normal_Scrubber" xfId="3"/>
    <cellStyle name="Note 2" xfId="79"/>
    <cellStyle name="Note 2 2" xfId="90"/>
    <cellStyle name="Note 2 2 2" xfId="199"/>
    <cellStyle name="Output 2" xfId="80"/>
    <cellStyle name="Output 2 2" xfId="91"/>
    <cellStyle name="Output 2 2 2" xfId="200"/>
    <cellStyle name="Percent 2" xfId="30"/>
    <cellStyle name="Percent 3" xfId="32"/>
    <cellStyle name="Percent 4" xfId="123"/>
    <cellStyle name="Style 1" xfId="21"/>
    <cellStyle name="Style 1 2" xfId="39"/>
    <cellStyle name="STYLE1 - Style7" xfId="22"/>
    <cellStyle name="STYLE2 - Style8" xfId="23"/>
    <cellStyle name="Title 2" xfId="81"/>
    <cellStyle name="Total 2" xfId="27"/>
    <cellStyle name="Warning Text 2" xfId="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24</xdr:row>
          <xdr:rowOff>104775</xdr:rowOff>
        </xdr:from>
        <xdr:to>
          <xdr:col>1</xdr:col>
          <xdr:colOff>885825</xdr:colOff>
          <xdr:row>29</xdr:row>
          <xdr:rowOff>76200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DEQ087\My%20Documents\Ethanol%20Plants%20-%20reviewed\ADM%20-%20Columbus\After%20Initial%20Review\39285f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deq226\My%20Documents\Current%20Projects\Wheatland\84220mf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_Files\ADM%20Clinton\Alcohol%20Project%202004\Alcohol%20Plant%20Calcs%2010-06-04%20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deq226\My%20Documents\Standard%20Calculation%20Spreadsheets\Current%20Projects\Wheatland\84220m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deq226\My%20Documents\Standard%20Calculation%20Spreadsheets\Current%20Projects\E-Energy\86373f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deq226\My%20Documents\Current%20Projects\Wheatland\84220mf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sion Units"/>
      <sheetName val="Criteria Summary"/>
      <sheetName val="HAP Summary"/>
      <sheetName val="Title 129, Chapters 20 &amp; 24"/>
      <sheetName val="PM Process Emissions"/>
      <sheetName val="Steeping&amp;Milling"/>
      <sheetName val="Germ Dryers, cooling"/>
      <sheetName val="Gluten Flash Dryers"/>
      <sheetName val="Fluid Bed Germ Dryer"/>
      <sheetName val="Fermentation, Distillation"/>
      <sheetName val="Storage Tanks"/>
      <sheetName val="Product Loadout"/>
      <sheetName val="Product Loadout HAPs"/>
      <sheetName val="EtOH LO Flare"/>
      <sheetName val="Carbon Furnaces"/>
      <sheetName val="NG Boilers #1-4"/>
      <sheetName val="NG Boiler #5"/>
      <sheetName val="Coal fired Boilers"/>
      <sheetName val="Cooling Towers"/>
      <sheetName val="Equipment Leaks"/>
      <sheetName val="Paved Road Fugitives"/>
      <sheetName val="Emergency Equipment"/>
      <sheetName val="Biogas Flare"/>
      <sheetName val="Wet Feed Pile"/>
      <sheetName val="HCl Scrubber"/>
      <sheetName val="Process Ta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; Grain Receiving&amp;DDGS"/>
      <sheetName val="3-5; RTO (DDGS Production)"/>
      <sheetName val="6; Distillation"/>
      <sheetName val="7; Fermentation"/>
      <sheetName val="8; Boilers"/>
      <sheetName val="9-13; Liquid Loading"/>
      <sheetName val="14; Emer. Fire Pump"/>
      <sheetName val="15; Wet Cake"/>
      <sheetName val="16-17; Equipment Leaks"/>
      <sheetName val="18; Haul Roads"/>
      <sheetName val="19; Cool Tower"/>
      <sheetName val="20; Tanks"/>
      <sheetName val="21; Title V Total"/>
      <sheetName val="22; Total HAPS"/>
      <sheetName val="DNP; Chapter 24"/>
      <sheetName val="23; Chapter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Yeast Props"/>
      <sheetName val="Fermenters"/>
      <sheetName val="Beer Well"/>
      <sheetName val="Beer Stills"/>
      <sheetName val="Anhydrous NCG Vents"/>
      <sheetName val="Mole Sieve NCG Vent"/>
      <sheetName val="MR1-3 Vent"/>
      <sheetName val="MR4 Vent"/>
      <sheetName val="Beverage Stills"/>
      <sheetName val="Gin Stills"/>
      <sheetName val="R-1 Stripper NCG Vent"/>
      <sheetName val="A-1 Stripper NCG Vent"/>
      <sheetName val="A-1A Stripper NCG Vent"/>
      <sheetName val="CO2 Scrubber Stripper NCG Vent"/>
      <sheetName val="Stillage Tank 108"/>
      <sheetName val="Stillage Tank 110"/>
      <sheetName val="Stillage Tank #3"/>
      <sheetName val="Recycle Tank"/>
      <sheetName val="Tanks TH1 &amp; TH2"/>
      <sheetName val="Tank A6"/>
      <sheetName val="A1 Feed Tank"/>
      <sheetName val="Fusel Oil Tank"/>
      <sheetName val="Mix Tank"/>
      <sheetName val="Process &amp; Storage Tanks"/>
      <sheetName val="Uncontrolled Fuel Loadout PTE"/>
      <sheetName val="Controlled Fuel Loadout PTE"/>
      <sheetName val="Beverage Loadout PTE"/>
      <sheetName val="Barge Beverage Loadout Baseline"/>
      <sheetName val="Rail Beverage Loadout Baseline"/>
      <sheetName val="Truck Beverage Loadout Baseline"/>
      <sheetName val="Barge CDA Baseline"/>
      <sheetName val="Rail CDA Baseline"/>
      <sheetName val="Dedicated Truck CDA Baseline"/>
      <sheetName val="Switch Truck CDA Baseline"/>
      <sheetName val="Loadout Flare Emissions"/>
      <sheetName val="VOC Fugitives"/>
      <sheetName val="WWTP"/>
      <sheetName val="Biomass Drying"/>
      <sheetName val="Feed Dryer EF Basis"/>
      <sheetName val="Road Dust Fugitives"/>
      <sheetName val="Road Rates"/>
      <sheetName val="Baseline Data"/>
      <sheetName val="Fermenter Test Data"/>
      <sheetName val="Constants"/>
      <sheetName val="Hourly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>
        <row r="5">
          <cell r="B5">
            <v>1.05</v>
          </cell>
        </row>
      </sheetData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; Grain Receiving&amp;DDGS"/>
      <sheetName val="3-5; RTO (DDGS Production)"/>
      <sheetName val="6; Distillation"/>
      <sheetName val="7; Fermentation"/>
      <sheetName val="8; Boilers"/>
      <sheetName val="9-13; Liquid Loading"/>
      <sheetName val="14; Emer. Fire Pump"/>
      <sheetName val="15; Wet Cake"/>
      <sheetName val="16-17; Equipment Leaks"/>
      <sheetName val="18; Haul Roads"/>
      <sheetName val="19; Cool Tower"/>
      <sheetName val="20; Tanks"/>
      <sheetName val="21; Title V Total"/>
      <sheetName val="22; Total HAPS"/>
      <sheetName val="DNP; Chapter 24"/>
      <sheetName val="23; Chapter 2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; Grain (baghouses)"/>
      <sheetName val="2; Grain (fugitives)"/>
      <sheetName val="3; CO2 Scrubber"/>
      <sheetName val="4-5; TO - DDGS"/>
      <sheetName val="6-7; TO - WDGS"/>
      <sheetName val="8; Cooling Cyclone"/>
      <sheetName val="9; Biomethanator Flare"/>
      <sheetName val="10-11; Liquid Loading"/>
      <sheetName val="12; Loadout Flare"/>
      <sheetName val="13; Paved Haul Roads DDGS"/>
      <sheetName val="14; Paved Haul Roads WDGS"/>
      <sheetName val="15; Tanks"/>
      <sheetName val="16; Cooling Tower"/>
      <sheetName val="17; Diesel, &lt;600hp"/>
      <sheetName val="18; Misc. VOC Sources"/>
      <sheetName val="19; Equipment Leaks"/>
      <sheetName val="20; WDGS"/>
      <sheetName val="21; Total - 100% DDGS"/>
      <sheetName val="22; Total - 100% WDGS"/>
      <sheetName val="23; Chapter 20"/>
      <sheetName val="24; Stack Testing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; Grain Receiving&amp;DDGS"/>
      <sheetName val="3-5; RTO (DDGS Production)"/>
      <sheetName val="6; Distillation"/>
      <sheetName val="7; Fermentation"/>
      <sheetName val="8; Boilers"/>
      <sheetName val="9-13; Liquid Loading"/>
      <sheetName val="14; Emer. Fire Pump"/>
      <sheetName val="15; Wet Cake"/>
      <sheetName val="16-17; Equipment Leaks"/>
      <sheetName val="18; Haul Roads"/>
      <sheetName val="19; Cool Tower"/>
      <sheetName val="20; Tanks"/>
      <sheetName val="21; Title V Total"/>
      <sheetName val="22; Total HAPS"/>
      <sheetName val="DNP; Chapter 24"/>
      <sheetName val="23; Chapter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neokpartners.com/~/media/ONEOK/SafetyDocs/Natural%20Gasoline.ashx" TargetMode="External"/><Relationship Id="rId13" Type="http://schemas.openxmlformats.org/officeDocument/2006/relationships/hyperlink" Target="https://www.valero.com/en-us/Documents/OSHA_GHS_SDS/SDS%20US%20-%20002-GHS%20UNLEADED%20GASOLINE%20Rev1%205-14.pdf" TargetMode="External"/><Relationship Id="rId3" Type="http://schemas.openxmlformats.org/officeDocument/2006/relationships/hyperlink" Target="http://www.docs.citgo.com/msds_pi/AG2FO.pdf" TargetMode="External"/><Relationship Id="rId7" Type="http://schemas.openxmlformats.org/officeDocument/2006/relationships/hyperlink" Target="https://www.valero.com/en-us/Documents/OSHA_GHS_SDS/SDS%20US%20-%20502-GHS%20Natural%20Gasoline%205-14.pdf" TargetMode="External"/><Relationship Id="rId12" Type="http://schemas.openxmlformats.org/officeDocument/2006/relationships/hyperlink" Target="http://www.devonenergy.com/documents/DVN-NA-MSDS-10-Natural-Gasoline.pdf" TargetMode="External"/><Relationship Id="rId2" Type="http://schemas.openxmlformats.org/officeDocument/2006/relationships/hyperlink" Target="http://www.marathonpetroleum.com/brand/content/documents/mpc/sds/0117MAR019.pdf" TargetMode="External"/><Relationship Id="rId1" Type="http://schemas.openxmlformats.org/officeDocument/2006/relationships/hyperlink" Target="http://www.valero.com/V_MSDS/109%20-%20No.2%20Fuel%20Oil%20Rev%202.pdf" TargetMode="External"/><Relationship Id="rId6" Type="http://schemas.openxmlformats.org/officeDocument/2006/relationships/hyperlink" Target="http://www.epc.shell.com/Docs/GSAP_msds_00835405.PDF" TargetMode="External"/><Relationship Id="rId11" Type="http://schemas.openxmlformats.org/officeDocument/2006/relationships/hyperlink" Target="http://www.conocophillips.com/sustainable-development/Documents/SMID_213_Natural%20Gasoline%20HTAG.pdf" TargetMode="External"/><Relationship Id="rId5" Type="http://schemas.openxmlformats.org/officeDocument/2006/relationships/hyperlink" Target="http://www.docs.citgo.com/msds_pi/UNLEAD.pdf" TargetMode="External"/><Relationship Id="rId10" Type="http://schemas.openxmlformats.org/officeDocument/2006/relationships/hyperlink" Target="http://www.epenergy.com/about/msds/A0048-Natural%20Gasoline.pdf" TargetMode="External"/><Relationship Id="rId4" Type="http://schemas.openxmlformats.org/officeDocument/2006/relationships/hyperlink" Target="http://www.marathonpetroleum.com/brand/content/documents/mpc/sds/0127MAR019.pdf" TargetMode="External"/><Relationship Id="rId9" Type="http://schemas.openxmlformats.org/officeDocument/2006/relationships/hyperlink" Target="http://texonlp.com/SDS/SDS-Natural%20Gasoline.pdf" TargetMode="External"/><Relationship Id="rId1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I54"/>
  <sheetViews>
    <sheetView tabSelected="1" zoomScaleNormal="100" workbookViewId="0">
      <selection activeCell="I18" sqref="I18"/>
    </sheetView>
  </sheetViews>
  <sheetFormatPr defaultColWidth="9.140625" defaultRowHeight="12.75"/>
  <cols>
    <col min="1" max="1" width="23.42578125" style="4" customWidth="1"/>
    <col min="2" max="2" width="17.5703125" style="4" customWidth="1"/>
    <col min="3" max="4" width="17.42578125" style="4" customWidth="1"/>
    <col min="5" max="5" width="18.140625" style="4" customWidth="1"/>
    <col min="6" max="6" width="12.42578125" style="4" customWidth="1"/>
    <col min="7" max="7" width="15.5703125" style="4" customWidth="1"/>
    <col min="8" max="8" width="11.42578125" style="4" customWidth="1"/>
    <col min="9" max="9" width="18.85546875" style="4" customWidth="1"/>
    <col min="10" max="10" width="14.42578125" style="4" customWidth="1"/>
    <col min="11" max="11" width="11.5703125" style="4" bestFit="1" customWidth="1"/>
    <col min="12" max="16384" width="9.140625" style="4"/>
  </cols>
  <sheetData>
    <row r="1" spans="1:217" s="64" customFormat="1" ht="18.75" customHeight="1">
      <c r="A1" s="63" t="s">
        <v>0</v>
      </c>
      <c r="P1" s="65"/>
      <c r="Q1" s="66"/>
      <c r="R1" s="66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</row>
    <row r="2" spans="1:217" s="70" customFormat="1" ht="15.75">
      <c r="A2" s="68" t="s">
        <v>75</v>
      </c>
      <c r="B2" s="68"/>
      <c r="C2" s="69"/>
      <c r="D2" s="69"/>
      <c r="E2" s="69"/>
      <c r="F2" s="69"/>
    </row>
    <row r="4" spans="1:217" ht="15">
      <c r="A4" s="1" t="s">
        <v>1</v>
      </c>
      <c r="C4" s="2">
        <v>95</v>
      </c>
      <c r="D4" s="3" t="s">
        <v>2</v>
      </c>
    </row>
    <row r="5" spans="1:217" ht="15">
      <c r="A5" s="1" t="s">
        <v>3</v>
      </c>
      <c r="C5" s="2">
        <f>C6-C4</f>
        <v>5</v>
      </c>
      <c r="D5" s="3" t="s">
        <v>2</v>
      </c>
    </row>
    <row r="6" spans="1:217" ht="15">
      <c r="A6" s="1" t="s">
        <v>4</v>
      </c>
      <c r="C6" s="5">
        <v>100</v>
      </c>
      <c r="D6" s="3" t="s">
        <v>2</v>
      </c>
    </row>
    <row r="7" spans="1:217" ht="15">
      <c r="A7" s="1"/>
      <c r="B7" s="71"/>
      <c r="C7" s="3"/>
    </row>
    <row r="8" spans="1:217" ht="15.75" thickBot="1">
      <c r="A8" s="7" t="s">
        <v>5</v>
      </c>
    </row>
    <row r="9" spans="1:217" s="1" customFormat="1" ht="15.75" thickBot="1">
      <c r="A9" s="8"/>
      <c r="B9" s="9" t="s">
        <v>61</v>
      </c>
      <c r="C9" s="10" t="s">
        <v>62</v>
      </c>
    </row>
    <row r="10" spans="1:217" s="1" customFormat="1" ht="15">
      <c r="A10" s="11" t="s">
        <v>6</v>
      </c>
      <c r="B10" s="148">
        <v>0.98</v>
      </c>
      <c r="C10" s="149">
        <v>0</v>
      </c>
    </row>
    <row r="11" spans="1:217" s="1" customFormat="1" ht="15">
      <c r="A11" s="12" t="s">
        <v>7</v>
      </c>
      <c r="B11" s="150">
        <v>0.95</v>
      </c>
      <c r="C11" s="151">
        <v>0</v>
      </c>
    </row>
    <row r="12" spans="1:217" s="1" customFormat="1" ht="15.75" thickBot="1">
      <c r="A12" s="13" t="s">
        <v>8</v>
      </c>
      <c r="B12" s="72">
        <f>B10*B11</f>
        <v>0.93099999999999994</v>
      </c>
      <c r="C12" s="73">
        <f>C10*C11</f>
        <v>0</v>
      </c>
    </row>
    <row r="13" spans="1:217" s="1" customFormat="1" ht="15">
      <c r="B13" s="6"/>
      <c r="C13" s="3"/>
    </row>
    <row r="14" spans="1:217" ht="15.75" thickBot="1">
      <c r="A14" s="7" t="s">
        <v>18</v>
      </c>
    </row>
    <row r="15" spans="1:217" s="1" customFormat="1" ht="15">
      <c r="A15" s="167" t="s">
        <v>19</v>
      </c>
      <c r="B15" s="169" t="s">
        <v>20</v>
      </c>
      <c r="C15" s="169"/>
      <c r="D15" s="170"/>
    </row>
    <row r="16" spans="1:217" s="1" customFormat="1" ht="18" thickBot="1">
      <c r="A16" s="168"/>
      <c r="B16" s="30" t="s">
        <v>96</v>
      </c>
      <c r="C16" s="31" t="s">
        <v>11</v>
      </c>
      <c r="D16" s="32" t="s">
        <v>97</v>
      </c>
    </row>
    <row r="17" spans="1:6" s="1" customFormat="1" ht="15">
      <c r="A17" s="11" t="s">
        <v>23</v>
      </c>
      <c r="B17" s="117">
        <v>0</v>
      </c>
      <c r="C17" s="96">
        <v>2.0000000000000001E-4</v>
      </c>
      <c r="D17" s="118">
        <v>0</v>
      </c>
      <c r="F17" s="91"/>
    </row>
    <row r="18" spans="1:6" s="1" customFormat="1" ht="15">
      <c r="A18" s="12" t="s">
        <v>24</v>
      </c>
      <c r="B18" s="33">
        <f>4.35/100</f>
        <v>4.3499999999999997E-2</v>
      </c>
      <c r="C18" s="97">
        <v>0</v>
      </c>
      <c r="D18" s="119">
        <f>1/100</f>
        <v>0.01</v>
      </c>
      <c r="F18" s="91"/>
    </row>
    <row r="19" spans="1:6" s="1" customFormat="1" ht="15">
      <c r="A19" s="12" t="s">
        <v>26</v>
      </c>
      <c r="B19" s="33">
        <f>2.25/100</f>
        <v>2.2499999999999999E-2</v>
      </c>
      <c r="C19" s="97">
        <v>0</v>
      </c>
      <c r="D19" s="120">
        <v>0</v>
      </c>
      <c r="F19" s="91"/>
    </row>
    <row r="20" spans="1:6" s="1" customFormat="1" ht="15">
      <c r="A20" s="12" t="s">
        <v>27</v>
      </c>
      <c r="B20" s="33">
        <f>2.75/100</f>
        <v>2.75E-2</v>
      </c>
      <c r="C20" s="97">
        <v>0</v>
      </c>
      <c r="D20" s="120">
        <v>0</v>
      </c>
      <c r="F20" s="91"/>
    </row>
    <row r="21" spans="1:6" s="1" customFormat="1" ht="15">
      <c r="A21" s="12" t="s">
        <v>76</v>
      </c>
      <c r="B21" s="121">
        <f>14.25/100</f>
        <v>0.14249999999999999</v>
      </c>
      <c r="C21" s="97">
        <v>0</v>
      </c>
      <c r="D21" s="122">
        <v>0.5</v>
      </c>
      <c r="F21" s="91"/>
    </row>
    <row r="22" spans="1:6" s="1" customFormat="1" ht="15">
      <c r="A22" s="12" t="s">
        <v>28</v>
      </c>
      <c r="B22" s="97">
        <v>0</v>
      </c>
      <c r="C22" s="33">
        <v>2.0000000000000001E-4</v>
      </c>
      <c r="D22" s="120">
        <v>0</v>
      </c>
      <c r="F22" s="91"/>
    </row>
    <row r="23" spans="1:6" s="1" customFormat="1" ht="15">
      <c r="A23" s="12" t="s">
        <v>95</v>
      </c>
      <c r="B23" s="33">
        <f>0.88/100</f>
        <v>8.8000000000000005E-3</v>
      </c>
      <c r="C23" s="97">
        <v>0</v>
      </c>
      <c r="D23" s="120">
        <v>0</v>
      </c>
      <c r="F23" s="91"/>
    </row>
    <row r="24" spans="1:6" s="1" customFormat="1" ht="15">
      <c r="A24" s="12" t="s">
        <v>29</v>
      </c>
      <c r="B24" s="121">
        <f>23.75/100</f>
        <v>0.23749999999999999</v>
      </c>
      <c r="C24" s="97">
        <v>0</v>
      </c>
      <c r="D24" s="120">
        <v>0</v>
      </c>
      <c r="F24" s="91"/>
    </row>
    <row r="25" spans="1:6" s="1" customFormat="1" ht="15">
      <c r="A25" s="12" t="s">
        <v>30</v>
      </c>
      <c r="B25" s="121">
        <f>19.5/100</f>
        <v>0.19500000000000001</v>
      </c>
      <c r="C25" s="97">
        <v>0</v>
      </c>
      <c r="D25" s="120">
        <v>0</v>
      </c>
      <c r="F25" s="91"/>
    </row>
    <row r="26" spans="1:6" s="1" customFormat="1" ht="15.75" thickBot="1">
      <c r="A26" s="13" t="s">
        <v>31</v>
      </c>
      <c r="B26" s="123">
        <f>SUM(B17:B25)</f>
        <v>0.67730000000000001</v>
      </c>
      <c r="C26" s="34">
        <f>SUM(C17:C25)</f>
        <v>4.0000000000000002E-4</v>
      </c>
      <c r="D26" s="124">
        <f>SUM(D17:D25)</f>
        <v>0.51</v>
      </c>
      <c r="F26" s="91"/>
    </row>
    <row r="27" spans="1:6" s="1" customFormat="1" ht="18">
      <c r="A27" s="36" t="s">
        <v>98</v>
      </c>
      <c r="B27" s="95"/>
      <c r="C27" s="95"/>
      <c r="D27" s="95"/>
      <c r="F27" s="91"/>
    </row>
    <row r="28" spans="1:6" s="1" customFormat="1" ht="18">
      <c r="A28" s="137" t="s">
        <v>110</v>
      </c>
      <c r="B28" s="95"/>
      <c r="C28" s="95"/>
      <c r="D28" s="95"/>
      <c r="F28" s="91"/>
    </row>
    <row r="30" spans="1:6" ht="15" thickBot="1">
      <c r="A30" s="35" t="s">
        <v>34</v>
      </c>
    </row>
    <row r="31" spans="1:6" s="1" customFormat="1" ht="60" customHeight="1" thickBot="1">
      <c r="A31" s="36"/>
      <c r="B31" s="37" t="s">
        <v>36</v>
      </c>
      <c r="C31" s="47" t="s">
        <v>37</v>
      </c>
      <c r="D31" s="47" t="s">
        <v>38</v>
      </c>
      <c r="E31" s="16" t="s">
        <v>39</v>
      </c>
      <c r="F31" s="36"/>
    </row>
    <row r="32" spans="1:6" s="1" customFormat="1" ht="16.5">
      <c r="A32" s="11" t="s">
        <v>40</v>
      </c>
      <c r="B32" s="145">
        <v>0.90330172058621505</v>
      </c>
      <c r="C32" s="145" t="s">
        <v>17</v>
      </c>
      <c r="D32" s="127">
        <f>B32*(1-$B$12)</f>
        <v>6.2327818720448895E-2</v>
      </c>
      <c r="E32" s="39" t="s">
        <v>17</v>
      </c>
      <c r="F32" s="36"/>
    </row>
    <row r="33" spans="1:8" s="1" customFormat="1" ht="16.5">
      <c r="A33" s="12" t="s">
        <v>41</v>
      </c>
      <c r="B33" s="146">
        <v>0.37943034887752847</v>
      </c>
      <c r="C33" s="146">
        <v>0.37943034887752847</v>
      </c>
      <c r="D33" s="128">
        <f>B33*(1-$B$12)</f>
        <v>2.6180694072549488E-2</v>
      </c>
      <c r="E33" s="41">
        <f>C33*(1-$C$12)</f>
        <v>0.37943034887752847</v>
      </c>
      <c r="F33" s="36"/>
    </row>
    <row r="34" spans="1:8" s="1" customFormat="1" ht="16.5">
      <c r="A34" s="12" t="s">
        <v>42</v>
      </c>
      <c r="B34" s="146">
        <v>9.8644493667761485E-2</v>
      </c>
      <c r="C34" s="146">
        <v>9.8644493667761485E-2</v>
      </c>
      <c r="D34" s="128">
        <f>B34*(1-$B$12)</f>
        <v>6.8064700630755485E-3</v>
      </c>
      <c r="E34" s="41">
        <f>C34*(1-$C$12)</f>
        <v>9.8644493667761485E-2</v>
      </c>
      <c r="F34" s="36"/>
    </row>
    <row r="35" spans="1:8" s="1" customFormat="1" ht="18" thickBot="1">
      <c r="A35" s="87" t="s">
        <v>72</v>
      </c>
      <c r="B35" s="147">
        <v>1.3813765631315054</v>
      </c>
      <c r="C35" s="147">
        <v>0.47807484254528998</v>
      </c>
      <c r="D35" s="129">
        <f>B35*(1-$B$12)</f>
        <v>9.5314982856073954E-2</v>
      </c>
      <c r="E35" s="43">
        <f>C35*(1-$C$12)</f>
        <v>0.47807484254528998</v>
      </c>
      <c r="F35" s="36"/>
    </row>
    <row r="36" spans="1:8" s="36" customFormat="1" ht="15">
      <c r="A36" s="45"/>
    </row>
    <row r="37" spans="1:8" s="44" customFormat="1" ht="15.75" thickBot="1">
      <c r="A37" s="46" t="s">
        <v>45</v>
      </c>
      <c r="B37" s="36"/>
      <c r="C37" s="36"/>
      <c r="D37" s="36"/>
      <c r="E37" s="36"/>
      <c r="F37" s="36"/>
    </row>
    <row r="38" spans="1:8" s="36" customFormat="1" ht="45" customHeight="1">
      <c r="A38" s="130" t="s">
        <v>102</v>
      </c>
      <c r="B38" s="106" t="s">
        <v>105</v>
      </c>
      <c r="C38" s="106" t="s">
        <v>106</v>
      </c>
      <c r="D38" s="106" t="s">
        <v>103</v>
      </c>
      <c r="E38" s="126" t="s">
        <v>107</v>
      </c>
    </row>
    <row r="39" spans="1:8" s="36" customFormat="1" ht="15.75" thickBot="1">
      <c r="A39" s="131">
        <f>$C$6*1000</f>
        <v>100000</v>
      </c>
      <c r="B39" s="132">
        <f>D35</f>
        <v>9.5314982856073954E-2</v>
      </c>
      <c r="C39" s="132">
        <f>E35</f>
        <v>0.47807484254528998</v>
      </c>
      <c r="D39" s="133">
        <f>A39*MAX(B39:C39)/2000</f>
        <v>23.903742127264501</v>
      </c>
      <c r="E39" s="134" t="str">
        <f>IF(B39&gt;C39,"Truck","Rail")</f>
        <v>Rail</v>
      </c>
    </row>
    <row r="40" spans="1:8" s="44" customFormat="1" ht="15">
      <c r="B40" s="107"/>
      <c r="C40" s="54"/>
      <c r="D40" s="107"/>
      <c r="E40" s="107"/>
      <c r="F40" s="36"/>
    </row>
    <row r="41" spans="1:8" s="44" customFormat="1" ht="14.25" customHeight="1" thickBot="1">
      <c r="A41" s="46" t="s">
        <v>50</v>
      </c>
      <c r="B41" s="107"/>
      <c r="C41" s="107"/>
      <c r="D41" s="107"/>
      <c r="E41" s="107"/>
      <c r="F41" s="36"/>
    </row>
    <row r="42" spans="1:8" s="1" customFormat="1" ht="30" customHeight="1">
      <c r="A42" s="167" t="s">
        <v>51</v>
      </c>
      <c r="B42" s="164" t="s">
        <v>52</v>
      </c>
      <c r="C42" s="165"/>
      <c r="D42" s="165"/>
      <c r="E42" s="164" t="s">
        <v>53</v>
      </c>
      <c r="F42" s="165"/>
      <c r="G42" s="164" t="s">
        <v>104</v>
      </c>
      <c r="H42" s="161" t="s">
        <v>107</v>
      </c>
    </row>
    <row r="43" spans="1:8" s="1" customFormat="1" ht="15" customHeight="1" thickBot="1">
      <c r="A43" s="168"/>
      <c r="B43" s="55" t="s">
        <v>21</v>
      </c>
      <c r="C43" s="55" t="s">
        <v>11</v>
      </c>
      <c r="D43" s="55" t="s">
        <v>22</v>
      </c>
      <c r="E43" s="55" t="s">
        <v>55</v>
      </c>
      <c r="F43" s="55" t="s">
        <v>22</v>
      </c>
      <c r="G43" s="166"/>
      <c r="H43" s="162"/>
    </row>
    <row r="44" spans="1:8" s="1" customFormat="1" ht="14.25" customHeight="1">
      <c r="A44" s="11" t="s">
        <v>23</v>
      </c>
      <c r="B44" s="125">
        <f t="shared" ref="B44:B52" si="0">$D$32*$A$39/2000*B17</f>
        <v>0</v>
      </c>
      <c r="C44" s="125">
        <f t="shared" ref="C44:C52" si="1">$D$33*$A$39/2000*C17</f>
        <v>2.6180694072549485E-4</v>
      </c>
      <c r="D44" s="125">
        <f t="shared" ref="D44:D52" si="2">$D$34*$A$39/2000*D17</f>
        <v>0</v>
      </c>
      <c r="E44" s="125">
        <f t="shared" ref="E44:E52" si="3">$E$33*$A$39/2000*C17</f>
        <v>3.7943034887752847E-3</v>
      </c>
      <c r="F44" s="125">
        <f t="shared" ref="F44:F52" si="4">$E$34*$A$39/2000*D17</f>
        <v>0</v>
      </c>
      <c r="G44" s="125">
        <f>MAX(SUM(B44:D44),SUM(E44:F44))</f>
        <v>3.7943034887752847E-3</v>
      </c>
      <c r="H44" s="39" t="str">
        <f>IF(G44=SUM(B44:D44),"Truck","Rail")</f>
        <v>Rail</v>
      </c>
    </row>
    <row r="45" spans="1:8" s="1" customFormat="1" ht="14.25" customHeight="1">
      <c r="A45" s="12" t="s">
        <v>24</v>
      </c>
      <c r="B45" s="113">
        <f t="shared" si="0"/>
        <v>0.13556300571697635</v>
      </c>
      <c r="C45" s="113">
        <f t="shared" si="1"/>
        <v>0</v>
      </c>
      <c r="D45" s="113">
        <f t="shared" si="2"/>
        <v>3.4032350315377747E-3</v>
      </c>
      <c r="E45" s="113">
        <f t="shared" si="3"/>
        <v>0</v>
      </c>
      <c r="F45" s="113">
        <f t="shared" si="4"/>
        <v>4.9322246833880749E-2</v>
      </c>
      <c r="G45" s="113">
        <f t="shared" ref="G45:G53" si="5">MAX(SUM(B45:D45),SUM(E45:F45))</f>
        <v>0.13896624074851413</v>
      </c>
      <c r="H45" s="114" t="str">
        <f t="shared" ref="H45:H53" si="6">IF(G45=SUM(B45:D45),"Truck","Rail")</f>
        <v>Truck</v>
      </c>
    </row>
    <row r="46" spans="1:8" s="1" customFormat="1" ht="14.25" customHeight="1">
      <c r="A46" s="12" t="s">
        <v>26</v>
      </c>
      <c r="B46" s="113">
        <f t="shared" si="0"/>
        <v>7.0118796060505001E-2</v>
      </c>
      <c r="C46" s="113">
        <f t="shared" si="1"/>
        <v>0</v>
      </c>
      <c r="D46" s="113">
        <f t="shared" si="2"/>
        <v>0</v>
      </c>
      <c r="E46" s="113">
        <f t="shared" si="3"/>
        <v>0</v>
      </c>
      <c r="F46" s="113">
        <f t="shared" si="4"/>
        <v>0</v>
      </c>
      <c r="G46" s="113">
        <f t="shared" si="5"/>
        <v>7.0118796060505001E-2</v>
      </c>
      <c r="H46" s="114" t="str">
        <f t="shared" si="6"/>
        <v>Truck</v>
      </c>
    </row>
    <row r="47" spans="1:8" s="1" customFormat="1" ht="14.25" customHeight="1">
      <c r="A47" s="12" t="s">
        <v>27</v>
      </c>
      <c r="B47" s="113">
        <f t="shared" si="0"/>
        <v>8.570075074061724E-2</v>
      </c>
      <c r="C47" s="113">
        <f t="shared" si="1"/>
        <v>0</v>
      </c>
      <c r="D47" s="113">
        <f t="shared" si="2"/>
        <v>0</v>
      </c>
      <c r="E47" s="113">
        <f t="shared" si="3"/>
        <v>0</v>
      </c>
      <c r="F47" s="113">
        <f t="shared" si="4"/>
        <v>0</v>
      </c>
      <c r="G47" s="113">
        <f t="shared" si="5"/>
        <v>8.570075074061724E-2</v>
      </c>
      <c r="H47" s="114" t="str">
        <f t="shared" si="6"/>
        <v>Truck</v>
      </c>
    </row>
    <row r="48" spans="1:8" s="1" customFormat="1" ht="14.25" customHeight="1">
      <c r="A48" s="12" t="s">
        <v>76</v>
      </c>
      <c r="B48" s="113">
        <f t="shared" si="0"/>
        <v>0.44408570838319833</v>
      </c>
      <c r="C48" s="113">
        <f t="shared" si="1"/>
        <v>0</v>
      </c>
      <c r="D48" s="113">
        <f t="shared" si="2"/>
        <v>0.17016175157688873</v>
      </c>
      <c r="E48" s="113">
        <f t="shared" si="3"/>
        <v>0</v>
      </c>
      <c r="F48" s="113">
        <f t="shared" si="4"/>
        <v>2.4661123416940374</v>
      </c>
      <c r="G48" s="113">
        <f t="shared" si="5"/>
        <v>2.4661123416940374</v>
      </c>
      <c r="H48" s="114" t="str">
        <f t="shared" si="6"/>
        <v>Rail</v>
      </c>
    </row>
    <row r="49" spans="1:8" s="1" customFormat="1" ht="14.25" customHeight="1">
      <c r="A49" s="12" t="s">
        <v>28</v>
      </c>
      <c r="B49" s="113">
        <f t="shared" si="0"/>
        <v>0</v>
      </c>
      <c r="C49" s="113">
        <f t="shared" si="1"/>
        <v>2.6180694072549485E-4</v>
      </c>
      <c r="D49" s="113">
        <f t="shared" si="2"/>
        <v>0</v>
      </c>
      <c r="E49" s="113">
        <f t="shared" si="3"/>
        <v>3.7943034887752847E-3</v>
      </c>
      <c r="F49" s="113">
        <f t="shared" si="4"/>
        <v>0</v>
      </c>
      <c r="G49" s="113">
        <f t="shared" si="5"/>
        <v>3.7943034887752847E-3</v>
      </c>
      <c r="H49" s="114" t="str">
        <f t="shared" si="6"/>
        <v>Rail</v>
      </c>
    </row>
    <row r="50" spans="1:8" s="1" customFormat="1" ht="14.25" customHeight="1">
      <c r="A50" s="12" t="s">
        <v>95</v>
      </c>
      <c r="B50" s="113">
        <f t="shared" si="0"/>
        <v>2.7424240236997518E-2</v>
      </c>
      <c r="C50" s="113">
        <f t="shared" si="1"/>
        <v>0</v>
      </c>
      <c r="D50" s="113">
        <f t="shared" si="2"/>
        <v>0</v>
      </c>
      <c r="E50" s="113">
        <f t="shared" si="3"/>
        <v>0</v>
      </c>
      <c r="F50" s="113">
        <f t="shared" si="4"/>
        <v>0</v>
      </c>
      <c r="G50" s="113">
        <f t="shared" si="5"/>
        <v>2.7424240236997518E-2</v>
      </c>
      <c r="H50" s="114" t="str">
        <f t="shared" si="6"/>
        <v>Truck</v>
      </c>
    </row>
    <row r="51" spans="1:8" s="1" customFormat="1" ht="14.25" customHeight="1">
      <c r="A51" s="12" t="s">
        <v>29</v>
      </c>
      <c r="B51" s="113">
        <f t="shared" si="0"/>
        <v>0.74014284730533064</v>
      </c>
      <c r="C51" s="113">
        <f t="shared" si="1"/>
        <v>0</v>
      </c>
      <c r="D51" s="113">
        <f t="shared" si="2"/>
        <v>0</v>
      </c>
      <c r="E51" s="113">
        <f t="shared" si="3"/>
        <v>0</v>
      </c>
      <c r="F51" s="113">
        <f t="shared" si="4"/>
        <v>0</v>
      </c>
      <c r="G51" s="113">
        <f t="shared" si="5"/>
        <v>0.74014284730533064</v>
      </c>
      <c r="H51" s="114" t="str">
        <f t="shared" si="6"/>
        <v>Truck</v>
      </c>
    </row>
    <row r="52" spans="1:8" s="1" customFormat="1" ht="14.25" customHeight="1">
      <c r="A52" s="12" t="s">
        <v>30</v>
      </c>
      <c r="B52" s="113">
        <f t="shared" si="0"/>
        <v>0.60769623252437677</v>
      </c>
      <c r="C52" s="113">
        <f t="shared" si="1"/>
        <v>0</v>
      </c>
      <c r="D52" s="113">
        <f t="shared" si="2"/>
        <v>0</v>
      </c>
      <c r="E52" s="113">
        <f t="shared" si="3"/>
        <v>0</v>
      </c>
      <c r="F52" s="113">
        <f t="shared" si="4"/>
        <v>0</v>
      </c>
      <c r="G52" s="113">
        <f t="shared" si="5"/>
        <v>0.60769623252437677</v>
      </c>
      <c r="H52" s="114" t="str">
        <f t="shared" si="6"/>
        <v>Truck</v>
      </c>
    </row>
    <row r="53" spans="1:8" s="1" customFormat="1" ht="14.25" customHeight="1" thickBot="1">
      <c r="A53" s="13" t="s">
        <v>31</v>
      </c>
      <c r="B53" s="163">
        <f>SUM(B44:D52)</f>
        <v>2.2848201814578797</v>
      </c>
      <c r="C53" s="163"/>
      <c r="D53" s="163"/>
      <c r="E53" s="163">
        <f>SUM(E44:F52)</f>
        <v>2.5230231955054685</v>
      </c>
      <c r="F53" s="163"/>
      <c r="G53" s="115">
        <f t="shared" si="5"/>
        <v>2.5230231955054685</v>
      </c>
      <c r="H53" s="116" t="str">
        <f t="shared" si="6"/>
        <v>Rail</v>
      </c>
    </row>
    <row r="54" spans="1:8" ht="14.25" customHeight="1"/>
  </sheetData>
  <mergeCells count="9">
    <mergeCell ref="A15:A16"/>
    <mergeCell ref="B15:D15"/>
    <mergeCell ref="A42:A43"/>
    <mergeCell ref="B42:D42"/>
    <mergeCell ref="H42:H43"/>
    <mergeCell ref="B53:D53"/>
    <mergeCell ref="E42:F42"/>
    <mergeCell ref="G42:G43"/>
    <mergeCell ref="E53:F53"/>
  </mergeCells>
  <pageMargins left="0.75" right="0.75" top="1" bottom="1" header="0.5" footer="0.5"/>
  <pageSetup scale="90" orientation="landscape" r:id="rId1"/>
  <headerFooter alignWithMargins="0"/>
  <rowBreaks count="2" manualBreakCount="2">
    <brk id="28" max="7" man="1"/>
    <brk id="53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I133"/>
  <sheetViews>
    <sheetView zoomScale="110" zoomScaleNormal="110" workbookViewId="0">
      <selection activeCell="D64" sqref="D64"/>
    </sheetView>
  </sheetViews>
  <sheetFormatPr defaultColWidth="9.140625" defaultRowHeight="12.75"/>
  <cols>
    <col min="1" max="1" width="33.42578125" style="4" customWidth="1"/>
    <col min="2" max="2" width="23.140625" style="4" bestFit="1" customWidth="1"/>
    <col min="3" max="3" width="26.42578125" style="4" customWidth="1"/>
    <col min="4" max="4" width="19.85546875" style="4" customWidth="1"/>
    <col min="5" max="5" width="18.140625" style="4" customWidth="1"/>
    <col min="6" max="6" width="15.140625" style="4" bestFit="1" customWidth="1"/>
    <col min="7" max="7" width="17.42578125" style="4" customWidth="1"/>
    <col min="8" max="8" width="11.42578125" style="4" customWidth="1"/>
    <col min="9" max="9" width="18.85546875" style="4" customWidth="1"/>
    <col min="10" max="10" width="14.42578125" style="4" customWidth="1"/>
    <col min="11" max="11" width="11.5703125" style="4" bestFit="1" customWidth="1"/>
    <col min="12" max="16384" width="9.140625" style="4"/>
  </cols>
  <sheetData>
    <row r="1" spans="1:217" s="64" customFormat="1" ht="18.75" customHeight="1">
      <c r="A1" s="63" t="s">
        <v>0</v>
      </c>
      <c r="P1" s="65"/>
      <c r="Q1" s="66"/>
      <c r="R1" s="66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</row>
    <row r="2" spans="1:217" s="70" customFormat="1" ht="15.75">
      <c r="A2" s="68" t="s">
        <v>75</v>
      </c>
      <c r="B2" s="68"/>
      <c r="C2" s="69"/>
      <c r="D2" s="69"/>
      <c r="E2" s="69"/>
      <c r="F2" s="69"/>
    </row>
    <row r="4" spans="1:217" ht="15">
      <c r="A4" s="1" t="s">
        <v>1</v>
      </c>
      <c r="B4" s="2">
        <v>95</v>
      </c>
      <c r="C4" s="3" t="s">
        <v>2</v>
      </c>
    </row>
    <row r="5" spans="1:217" ht="15">
      <c r="A5" s="1" t="s">
        <v>3</v>
      </c>
      <c r="B5" s="2">
        <f>B6-B4</f>
        <v>5</v>
      </c>
      <c r="C5" s="3" t="s">
        <v>2</v>
      </c>
    </row>
    <row r="6" spans="1:217" ht="15">
      <c r="A6" s="1" t="s">
        <v>4</v>
      </c>
      <c r="B6" s="5">
        <v>100</v>
      </c>
      <c r="C6" s="3" t="s">
        <v>2</v>
      </c>
    </row>
    <row r="7" spans="1:217" ht="15">
      <c r="A7" s="1"/>
      <c r="B7" s="71"/>
      <c r="C7" s="3"/>
    </row>
    <row r="8" spans="1:217" ht="15">
      <c r="A8" s="7" t="s">
        <v>5</v>
      </c>
    </row>
    <row r="9" spans="1:217" ht="15" thickBot="1">
      <c r="A9" s="35"/>
    </row>
    <row r="10" spans="1:217" s="1" customFormat="1" ht="15.75" thickBot="1">
      <c r="A10" s="8"/>
      <c r="B10" s="9" t="s">
        <v>61</v>
      </c>
      <c r="C10" s="10" t="s">
        <v>62</v>
      </c>
    </row>
    <row r="11" spans="1:217" s="1" customFormat="1" ht="15">
      <c r="A11" s="11" t="s">
        <v>6</v>
      </c>
      <c r="B11" s="148">
        <v>0.98</v>
      </c>
      <c r="C11" s="149">
        <v>0</v>
      </c>
    </row>
    <row r="12" spans="1:217" s="1" customFormat="1" ht="15">
      <c r="A12" s="12" t="s">
        <v>7</v>
      </c>
      <c r="B12" s="150">
        <v>0.95</v>
      </c>
      <c r="C12" s="151">
        <v>0</v>
      </c>
    </row>
    <row r="13" spans="1:217" s="1" customFormat="1" ht="15.75" thickBot="1">
      <c r="A13" s="13" t="s">
        <v>8</v>
      </c>
      <c r="B13" s="72">
        <f>B11*B12</f>
        <v>0.93099999999999994</v>
      </c>
      <c r="C13" s="73">
        <f>C11*C12</f>
        <v>0</v>
      </c>
    </row>
    <row r="14" spans="1:217" s="1" customFormat="1" ht="15">
      <c r="B14" s="6"/>
      <c r="C14" s="3"/>
    </row>
    <row r="15" spans="1:217" s="1" customFormat="1" ht="15.75" thickBot="1">
      <c r="A15" s="7" t="s">
        <v>9</v>
      </c>
      <c r="B15" s="6"/>
      <c r="C15" s="3"/>
    </row>
    <row r="16" spans="1:217" s="1" customFormat="1" ht="42.75" customHeight="1" thickBot="1">
      <c r="B16" s="14" t="s">
        <v>10</v>
      </c>
      <c r="C16" s="15" t="s">
        <v>11</v>
      </c>
      <c r="D16" s="16" t="s">
        <v>12</v>
      </c>
    </row>
    <row r="17" spans="1:4" s="1" customFormat="1" ht="15">
      <c r="A17" s="17" t="s">
        <v>13</v>
      </c>
      <c r="B17" s="18">
        <v>62</v>
      </c>
      <c r="C17" s="18">
        <v>49.9</v>
      </c>
      <c r="D17" s="19">
        <v>62</v>
      </c>
    </row>
    <row r="18" spans="1:4" s="1" customFormat="1" ht="18">
      <c r="A18" s="20" t="s">
        <v>63</v>
      </c>
      <c r="B18" s="21">
        <v>509.71</v>
      </c>
      <c r="C18" s="21">
        <v>509.71</v>
      </c>
      <c r="D18" s="22">
        <v>509.71</v>
      </c>
    </row>
    <row r="19" spans="1:4" s="1" customFormat="1" ht="15">
      <c r="A19" s="20" t="s">
        <v>14</v>
      </c>
      <c r="B19" s="21">
        <v>5.96</v>
      </c>
      <c r="C19" s="21">
        <v>0.63600000000000001</v>
      </c>
      <c r="D19" s="22">
        <v>5.96</v>
      </c>
    </row>
    <row r="20" spans="1:4" s="1" customFormat="1" ht="15">
      <c r="A20" s="20" t="s">
        <v>15</v>
      </c>
      <c r="B20" s="21">
        <v>92</v>
      </c>
      <c r="C20" s="21">
        <v>46</v>
      </c>
      <c r="D20" s="22">
        <v>92</v>
      </c>
    </row>
    <row r="21" spans="1:4" s="1" customFormat="1" ht="15">
      <c r="A21" s="20" t="s">
        <v>16</v>
      </c>
      <c r="B21" s="21">
        <v>5.6</v>
      </c>
      <c r="C21" s="21">
        <v>6.6</v>
      </c>
      <c r="D21" s="22">
        <v>5.6</v>
      </c>
    </row>
    <row r="22" spans="1:4" s="1" customFormat="1" ht="18.75" thickBot="1">
      <c r="A22" s="23" t="s">
        <v>64</v>
      </c>
      <c r="B22" s="24" t="s">
        <v>17</v>
      </c>
      <c r="C22" s="25">
        <f>(C21*B4/C20)/((C21*B4/C20)+(D21*B5/D20))</f>
        <v>0.97815912636505453</v>
      </c>
      <c r="D22" s="26">
        <f>(D21*B5/D20)/((D21*B5/D20)+(C21*B4/C20))</f>
        <v>2.1840873634945399E-2</v>
      </c>
    </row>
    <row r="23" spans="1:4" s="1" customFormat="1" ht="18">
      <c r="A23" s="74" t="s">
        <v>65</v>
      </c>
      <c r="B23" s="28"/>
      <c r="C23" s="75"/>
      <c r="D23" s="29"/>
    </row>
    <row r="24" spans="1:4" s="1" customFormat="1" ht="18">
      <c r="A24" s="76" t="s">
        <v>66</v>
      </c>
      <c r="B24" s="28"/>
      <c r="C24" s="29"/>
      <c r="D24" s="29"/>
    </row>
    <row r="25" spans="1:4" ht="15">
      <c r="A25" s="27"/>
      <c r="B25" s="28"/>
      <c r="C25" s="29"/>
      <c r="D25" s="29"/>
    </row>
    <row r="26" spans="1:4" ht="15">
      <c r="A26" s="27"/>
      <c r="B26" s="28"/>
      <c r="C26" s="29"/>
      <c r="D26" s="29"/>
    </row>
    <row r="27" spans="1:4" ht="15">
      <c r="A27" s="27"/>
      <c r="B27" s="28"/>
      <c r="C27" s="29"/>
      <c r="D27" s="29"/>
    </row>
    <row r="28" spans="1:4" ht="15">
      <c r="B28" s="1"/>
      <c r="C28" s="1"/>
      <c r="D28" s="1"/>
    </row>
    <row r="32" spans="1:4" ht="15">
      <c r="A32" s="7" t="s">
        <v>18</v>
      </c>
    </row>
    <row r="33" spans="1:6" ht="13.5" thickBot="1"/>
    <row r="34" spans="1:6" s="1" customFormat="1" ht="15">
      <c r="A34" s="167" t="s">
        <v>19</v>
      </c>
      <c r="B34" s="169" t="s">
        <v>20</v>
      </c>
      <c r="C34" s="169"/>
      <c r="D34" s="170"/>
    </row>
    <row r="35" spans="1:6" s="1" customFormat="1" ht="18" thickBot="1">
      <c r="A35" s="168"/>
      <c r="B35" s="30" t="s">
        <v>96</v>
      </c>
      <c r="C35" s="31" t="s">
        <v>11</v>
      </c>
      <c r="D35" s="32" t="s">
        <v>97</v>
      </c>
    </row>
    <row r="36" spans="1:6" s="1" customFormat="1" ht="15">
      <c r="A36" s="11" t="s">
        <v>23</v>
      </c>
      <c r="B36" s="98">
        <v>0</v>
      </c>
      <c r="C36" s="96">
        <v>2.0000000000000001E-4</v>
      </c>
      <c r="D36" s="100">
        <v>0</v>
      </c>
      <c r="F36" s="91"/>
    </row>
    <row r="37" spans="1:6" s="1" customFormat="1" ht="15">
      <c r="A37" s="12" t="s">
        <v>24</v>
      </c>
      <c r="B37" s="85">
        <f>4.35/100</f>
        <v>4.3499999999999997E-2</v>
      </c>
      <c r="C37" s="97">
        <v>0</v>
      </c>
      <c r="D37" s="86">
        <v>0.01</v>
      </c>
      <c r="F37" s="91"/>
    </row>
    <row r="38" spans="1:6" s="1" customFormat="1" ht="15">
      <c r="A38" s="12" t="s">
        <v>26</v>
      </c>
      <c r="B38" s="85">
        <f>2.25/100</f>
        <v>2.2499999999999999E-2</v>
      </c>
      <c r="C38" s="97">
        <v>0</v>
      </c>
      <c r="D38" s="101">
        <v>0</v>
      </c>
      <c r="F38" s="91"/>
    </row>
    <row r="39" spans="1:6" s="1" customFormat="1" ht="15">
      <c r="A39" s="12" t="s">
        <v>27</v>
      </c>
      <c r="B39" s="85">
        <f>2.75/100</f>
        <v>2.75E-2</v>
      </c>
      <c r="C39" s="97">
        <v>0</v>
      </c>
      <c r="D39" s="101">
        <v>0</v>
      </c>
      <c r="F39" s="91"/>
    </row>
    <row r="40" spans="1:6" s="1" customFormat="1" ht="15">
      <c r="A40" s="12" t="s">
        <v>76</v>
      </c>
      <c r="B40" s="102">
        <f>14.25/100</f>
        <v>0.14249999999999999</v>
      </c>
      <c r="C40" s="97">
        <v>0</v>
      </c>
      <c r="D40" s="104">
        <v>0.5</v>
      </c>
      <c r="F40" s="91"/>
    </row>
    <row r="41" spans="1:6" s="1" customFormat="1" ht="15">
      <c r="A41" s="12" t="s">
        <v>28</v>
      </c>
      <c r="B41" s="99">
        <v>0</v>
      </c>
      <c r="C41" s="33">
        <v>2.0000000000000001E-4</v>
      </c>
      <c r="D41" s="101">
        <v>0</v>
      </c>
      <c r="F41" s="91"/>
    </row>
    <row r="42" spans="1:6" s="1" customFormat="1" ht="15">
      <c r="A42" s="12" t="s">
        <v>95</v>
      </c>
      <c r="B42" s="85">
        <f>0.88/100</f>
        <v>8.8000000000000005E-3</v>
      </c>
      <c r="C42" s="97">
        <v>0</v>
      </c>
      <c r="D42" s="101">
        <v>0</v>
      </c>
      <c r="F42" s="91"/>
    </row>
    <row r="43" spans="1:6" s="1" customFormat="1" ht="15">
      <c r="A43" s="12" t="s">
        <v>29</v>
      </c>
      <c r="B43" s="102">
        <f>23.75/100</f>
        <v>0.23749999999999999</v>
      </c>
      <c r="C43" s="97">
        <v>0</v>
      </c>
      <c r="D43" s="86">
        <v>0</v>
      </c>
      <c r="F43" s="91"/>
    </row>
    <row r="44" spans="1:6" s="1" customFormat="1" ht="15">
      <c r="A44" s="12" t="s">
        <v>30</v>
      </c>
      <c r="B44" s="102">
        <f>19.5/100</f>
        <v>0.19500000000000001</v>
      </c>
      <c r="C44" s="97">
        <v>0</v>
      </c>
      <c r="D44" s="101">
        <v>0</v>
      </c>
      <c r="F44" s="91"/>
    </row>
    <row r="45" spans="1:6" s="1" customFormat="1" ht="15.75" thickBot="1">
      <c r="A45" s="13" t="s">
        <v>31</v>
      </c>
      <c r="B45" s="103">
        <f>SUM(B36:B44)</f>
        <v>0.67730000000000001</v>
      </c>
      <c r="C45" s="34">
        <f>SUM(C36:C44)</f>
        <v>4.0000000000000002E-4</v>
      </c>
      <c r="D45" s="105">
        <v>0.51</v>
      </c>
      <c r="F45" s="91"/>
    </row>
    <row r="46" spans="1:6" s="1" customFormat="1" ht="18">
      <c r="A46" s="36" t="s">
        <v>98</v>
      </c>
      <c r="B46" s="95"/>
      <c r="C46" s="95"/>
      <c r="D46" s="95"/>
      <c r="F46" s="91"/>
    </row>
    <row r="47" spans="1:6" s="1" customFormat="1" ht="18">
      <c r="A47" s="137" t="s">
        <v>110</v>
      </c>
      <c r="B47" s="95"/>
      <c r="C47" s="95"/>
      <c r="D47" s="95"/>
      <c r="F47" s="91"/>
    </row>
    <row r="48" spans="1:6" s="1" customFormat="1" ht="15">
      <c r="A48" s="36"/>
      <c r="B48" s="95"/>
      <c r="C48" s="95"/>
      <c r="D48" s="95"/>
      <c r="F48" s="91"/>
    </row>
    <row r="50" spans="1:4" ht="15">
      <c r="A50" s="7" t="s">
        <v>99</v>
      </c>
    </row>
    <row r="52" spans="1:4" ht="16.5">
      <c r="A52" s="1" t="s">
        <v>67</v>
      </c>
      <c r="B52" s="6">
        <v>0.6</v>
      </c>
      <c r="C52" s="3" t="s">
        <v>32</v>
      </c>
      <c r="D52" s="88" t="s">
        <v>69</v>
      </c>
    </row>
    <row r="53" spans="1:4" ht="16.5">
      <c r="A53" s="1" t="s">
        <v>33</v>
      </c>
      <c r="B53" s="6">
        <v>0.5</v>
      </c>
      <c r="C53" s="3" t="s">
        <v>32</v>
      </c>
      <c r="D53" s="88" t="s">
        <v>70</v>
      </c>
    </row>
    <row r="54" spans="1:4">
      <c r="D54" s="88" t="s">
        <v>71</v>
      </c>
    </row>
    <row r="55" spans="1:4" ht="13.5" thickBot="1">
      <c r="D55" s="88"/>
    </row>
    <row r="56" spans="1:4" ht="16.5" thickBot="1">
      <c r="A56" s="181" t="s">
        <v>135</v>
      </c>
      <c r="B56" s="182"/>
      <c r="C56" s="183"/>
      <c r="D56" s="88"/>
    </row>
    <row r="57" spans="1:4">
      <c r="A57" s="184" t="s">
        <v>136</v>
      </c>
      <c r="B57" s="44"/>
      <c r="C57" s="185"/>
      <c r="D57" s="88"/>
    </row>
    <row r="58" spans="1:4">
      <c r="A58" s="186" t="s">
        <v>137</v>
      </c>
      <c r="B58" s="44"/>
      <c r="C58" s="185"/>
      <c r="D58" s="88"/>
    </row>
    <row r="59" spans="1:4">
      <c r="A59" s="186" t="s">
        <v>138</v>
      </c>
      <c r="B59" s="44"/>
      <c r="C59" s="185"/>
      <c r="D59" s="88"/>
    </row>
    <row r="60" spans="1:4">
      <c r="A60" s="186"/>
      <c r="B60" s="44"/>
      <c r="C60" s="185"/>
      <c r="D60" s="88"/>
    </row>
    <row r="61" spans="1:4">
      <c r="A61" s="184" t="s">
        <v>133</v>
      </c>
      <c r="B61" s="44"/>
      <c r="C61" s="185"/>
      <c r="D61" s="88"/>
    </row>
    <row r="62" spans="1:4">
      <c r="A62" s="186" t="s">
        <v>139</v>
      </c>
      <c r="B62" s="44"/>
      <c r="C62" s="185"/>
      <c r="D62" s="88"/>
    </row>
    <row r="63" spans="1:4">
      <c r="A63" s="186" t="s">
        <v>108</v>
      </c>
      <c r="B63" s="44"/>
      <c r="C63" s="185"/>
      <c r="D63" s="88"/>
    </row>
    <row r="64" spans="1:4">
      <c r="A64" s="186"/>
      <c r="B64" s="44"/>
      <c r="C64" s="185"/>
      <c r="D64" s="88"/>
    </row>
    <row r="65" spans="1:6">
      <c r="A65" s="184" t="s">
        <v>134</v>
      </c>
      <c r="B65" s="44"/>
      <c r="C65" s="185"/>
      <c r="D65" s="88"/>
    </row>
    <row r="66" spans="1:6" ht="15.75" thickBot="1">
      <c r="A66" s="187" t="s">
        <v>140</v>
      </c>
      <c r="B66" s="188"/>
      <c r="C66" s="189"/>
    </row>
    <row r="67" spans="1:6" ht="15">
      <c r="A67" s="27"/>
      <c r="B67" s="44"/>
      <c r="C67" s="44"/>
    </row>
    <row r="69" spans="1:6" ht="14.25">
      <c r="A69" s="35" t="s">
        <v>34</v>
      </c>
    </row>
    <row r="71" spans="1:6" ht="15">
      <c r="A71" s="7" t="s">
        <v>35</v>
      </c>
      <c r="B71" s="3"/>
      <c r="C71" s="3"/>
      <c r="D71" s="3"/>
    </row>
    <row r="72" spans="1:6" ht="10.5" customHeight="1" thickBot="1">
      <c r="A72" s="7"/>
      <c r="B72" s="3"/>
      <c r="C72" s="3"/>
      <c r="D72" s="3"/>
    </row>
    <row r="73" spans="1:6" s="1" customFormat="1" ht="67.5" customHeight="1" thickBot="1">
      <c r="A73" s="36"/>
      <c r="B73" s="37" t="s">
        <v>36</v>
      </c>
      <c r="C73" s="16" t="s">
        <v>37</v>
      </c>
      <c r="D73" s="37" t="s">
        <v>38</v>
      </c>
      <c r="E73" s="16" t="s">
        <v>39</v>
      </c>
      <c r="F73" s="36"/>
    </row>
    <row r="74" spans="1:6" s="1" customFormat="1" ht="16.5">
      <c r="A74" s="11" t="s">
        <v>40</v>
      </c>
      <c r="B74" s="38">
        <f>(($B52-$B53)*12.46*B$17*B$19/B$18)</f>
        <v>0.9033017205862155</v>
      </c>
      <c r="C74" s="77" t="s">
        <v>17</v>
      </c>
      <c r="D74" s="78">
        <f>B74*(1-$B$13)</f>
        <v>6.2327818720448923E-2</v>
      </c>
      <c r="E74" s="39" t="s">
        <v>17</v>
      </c>
      <c r="F74" s="36"/>
    </row>
    <row r="75" spans="1:6" s="1" customFormat="1" ht="16.5">
      <c r="A75" s="12" t="s">
        <v>41</v>
      </c>
      <c r="B75" s="40">
        <f>(($B53)*12.46*C$17*C$19/C$18)*C22</f>
        <v>0.37943034887752847</v>
      </c>
      <c r="C75" s="79">
        <f>(($B53)*12.46*C$17*C$19/C$18)*C22</f>
        <v>0.37943034887752847</v>
      </c>
      <c r="D75" s="80">
        <f>B75*(1-$B$13)</f>
        <v>2.6180694072549488E-2</v>
      </c>
      <c r="E75" s="41">
        <f>C75*(1-$C$13)</f>
        <v>0.37943034887752847</v>
      </c>
      <c r="F75" s="36"/>
    </row>
    <row r="76" spans="1:6" s="1" customFormat="1" ht="16.5">
      <c r="A76" s="12" t="s">
        <v>42</v>
      </c>
      <c r="B76" s="40">
        <f>(($B53)*12.46*D$17*D$19/D$18)*D22</f>
        <v>9.8644493667761485E-2</v>
      </c>
      <c r="C76" s="79">
        <f>(($B53)*12.46*D$17*D$19/D$18)*D22</f>
        <v>9.8644493667761485E-2</v>
      </c>
      <c r="D76" s="80">
        <f>B76*(1-$B$13)</f>
        <v>6.8064700630755485E-3</v>
      </c>
      <c r="E76" s="41">
        <f>C76*(1-$C$13)</f>
        <v>9.8644493667761485E-2</v>
      </c>
      <c r="F76" s="36"/>
    </row>
    <row r="77" spans="1:6" s="1" customFormat="1" ht="18" thickBot="1">
      <c r="A77" s="87" t="s">
        <v>72</v>
      </c>
      <c r="B77" s="42">
        <f>SUM(B74:B76)</f>
        <v>1.3813765631315054</v>
      </c>
      <c r="C77" s="81">
        <f>SUM(C75:C76)</f>
        <v>0.47807484254528998</v>
      </c>
      <c r="D77" s="82">
        <f>B77*(1-$B$13)</f>
        <v>9.5314982856073954E-2</v>
      </c>
      <c r="E77" s="43">
        <f>C77*(1-$C$13)</f>
        <v>0.47807484254528998</v>
      </c>
      <c r="F77" s="36"/>
    </row>
    <row r="78" spans="1:6" s="1" customFormat="1" ht="15">
      <c r="A78" s="3" t="s">
        <v>43</v>
      </c>
      <c r="B78" s="36"/>
      <c r="C78" s="36"/>
      <c r="D78" s="36"/>
      <c r="E78" s="36"/>
      <c r="F78" s="36"/>
    </row>
    <row r="79" spans="1:6" s="36" customFormat="1" ht="15">
      <c r="A79" s="27" t="s">
        <v>44</v>
      </c>
    </row>
    <row r="80" spans="1:6" s="36" customFormat="1" ht="33" customHeight="1">
      <c r="A80" s="176" t="s">
        <v>73</v>
      </c>
      <c r="B80" s="177"/>
      <c r="C80" s="177"/>
      <c r="D80" s="177"/>
      <c r="E80" s="177"/>
    </row>
    <row r="81" spans="1:6" s="36" customFormat="1" ht="15">
      <c r="A81" s="45"/>
    </row>
    <row r="82" spans="1:6" s="44" customFormat="1" ht="15">
      <c r="A82" s="46" t="s">
        <v>45</v>
      </c>
      <c r="B82" s="36"/>
      <c r="C82" s="36"/>
      <c r="D82" s="36"/>
      <c r="E82" s="36"/>
      <c r="F82" s="36"/>
    </row>
    <row r="83" spans="1:6" s="44" customFormat="1" ht="15.75" thickBot="1">
      <c r="A83" s="83"/>
      <c r="B83" s="36"/>
      <c r="C83" s="36"/>
      <c r="D83" s="36"/>
      <c r="E83" s="36"/>
      <c r="F83" s="36"/>
    </row>
    <row r="84" spans="1:6" s="36" customFormat="1" ht="106.5" customHeight="1" thickBot="1">
      <c r="A84" s="14" t="s">
        <v>46</v>
      </c>
      <c r="B84" s="47" t="s">
        <v>47</v>
      </c>
      <c r="C84" s="47" t="s">
        <v>74</v>
      </c>
      <c r="D84" s="47" t="s">
        <v>48</v>
      </c>
    </row>
    <row r="85" spans="1:6" s="36" customFormat="1" ht="15.75" thickBot="1">
      <c r="A85" s="48" t="s">
        <v>68</v>
      </c>
      <c r="B85" s="89">
        <f>$B$6*1000</f>
        <v>100000</v>
      </c>
      <c r="C85" s="90">
        <f>D77</f>
        <v>9.5314982856073954E-2</v>
      </c>
      <c r="D85" s="49">
        <f>B85*C85/2000</f>
        <v>4.7657491428036973</v>
      </c>
      <c r="E85" s="50"/>
    </row>
    <row r="86" spans="1:6" s="36" customFormat="1" ht="15">
      <c r="A86" s="51" t="s">
        <v>49</v>
      </c>
      <c r="B86" s="89">
        <f>$B$6*1000</f>
        <v>100000</v>
      </c>
      <c r="C86" s="52">
        <f>E77</f>
        <v>0.47807484254528998</v>
      </c>
      <c r="D86" s="49">
        <f>B86*C86/2000</f>
        <v>23.903742127264501</v>
      </c>
    </row>
    <row r="87" spans="1:6" s="44" customFormat="1" ht="15">
      <c r="B87" s="53"/>
      <c r="C87" s="54"/>
      <c r="D87" s="53"/>
      <c r="E87" s="53"/>
      <c r="F87" s="36"/>
    </row>
    <row r="88" spans="1:6" s="44" customFormat="1" ht="14.25" customHeight="1">
      <c r="A88" s="46" t="s">
        <v>50</v>
      </c>
      <c r="B88" s="53"/>
      <c r="C88" s="53"/>
      <c r="D88" s="53"/>
      <c r="E88" s="53"/>
      <c r="F88" s="36"/>
    </row>
    <row r="89" spans="1:6" ht="14.25" customHeight="1" thickBot="1"/>
    <row r="90" spans="1:6" s="1" customFormat="1" ht="37.5" customHeight="1">
      <c r="A90" s="167" t="s">
        <v>51</v>
      </c>
      <c r="B90" s="164" t="s">
        <v>52</v>
      </c>
      <c r="C90" s="165"/>
      <c r="D90" s="165"/>
      <c r="E90" s="178" t="s">
        <v>54</v>
      </c>
    </row>
    <row r="91" spans="1:6" s="1" customFormat="1" ht="22.5" customHeight="1" thickBot="1">
      <c r="A91" s="168"/>
      <c r="B91" s="55" t="s">
        <v>21</v>
      </c>
      <c r="C91" s="55" t="s">
        <v>11</v>
      </c>
      <c r="D91" s="55" t="s">
        <v>22</v>
      </c>
      <c r="E91" s="179"/>
    </row>
    <row r="92" spans="1:6" s="1" customFormat="1" ht="14.25" customHeight="1">
      <c r="A92" s="12" t="s">
        <v>23</v>
      </c>
      <c r="B92" s="57">
        <f t="shared" ref="B92:B100" si="0">$D$74*$B$85/2000*B36</f>
        <v>0</v>
      </c>
      <c r="C92" s="57">
        <f t="shared" ref="C92:C100" si="1">$D$75*$B$85/2000*C36</f>
        <v>2.6180694072549485E-4</v>
      </c>
      <c r="D92" s="57">
        <f t="shared" ref="D92:D100" si="2">$D$76*$B$85/2000*D36</f>
        <v>0</v>
      </c>
      <c r="E92" s="58">
        <f t="shared" ref="E92:E100" si="3">SUM(B92:D92)</f>
        <v>2.6180694072549485E-4</v>
      </c>
      <c r="F92" s="59"/>
    </row>
    <row r="93" spans="1:6" s="1" customFormat="1" ht="14.25" customHeight="1">
      <c r="A93" s="12" t="s">
        <v>24</v>
      </c>
      <c r="B93" s="57">
        <f t="shared" si="0"/>
        <v>0.13556300571697641</v>
      </c>
      <c r="C93" s="57">
        <f t="shared" si="1"/>
        <v>0</v>
      </c>
      <c r="D93" s="57">
        <f t="shared" si="2"/>
        <v>3.4032350315377747E-3</v>
      </c>
      <c r="E93" s="58">
        <f t="shared" si="3"/>
        <v>0.13896624074851419</v>
      </c>
      <c r="F93" s="59"/>
    </row>
    <row r="94" spans="1:6" s="1" customFormat="1" ht="14.25" customHeight="1">
      <c r="A94" s="12" t="s">
        <v>26</v>
      </c>
      <c r="B94" s="57">
        <f t="shared" si="0"/>
        <v>7.0118796060505043E-2</v>
      </c>
      <c r="C94" s="57">
        <f t="shared" si="1"/>
        <v>0</v>
      </c>
      <c r="D94" s="57">
        <f t="shared" si="2"/>
        <v>0</v>
      </c>
      <c r="E94" s="58">
        <f t="shared" si="3"/>
        <v>7.0118796060505043E-2</v>
      </c>
      <c r="F94" s="59"/>
    </row>
    <row r="95" spans="1:6" s="1" customFormat="1" ht="14.25" customHeight="1">
      <c r="A95" s="12" t="s">
        <v>27</v>
      </c>
      <c r="B95" s="57">
        <f t="shared" si="0"/>
        <v>8.5700750740617268E-2</v>
      </c>
      <c r="C95" s="57">
        <f t="shared" si="1"/>
        <v>0</v>
      </c>
      <c r="D95" s="57">
        <f t="shared" si="2"/>
        <v>0</v>
      </c>
      <c r="E95" s="58">
        <f t="shared" si="3"/>
        <v>8.5700750740617268E-2</v>
      </c>
      <c r="F95" s="59"/>
    </row>
    <row r="96" spans="1:6" s="1" customFormat="1" ht="14.25" customHeight="1">
      <c r="A96" s="12" t="s">
        <v>76</v>
      </c>
      <c r="B96" s="57">
        <f t="shared" si="0"/>
        <v>0.44408570838319855</v>
      </c>
      <c r="C96" s="57">
        <f t="shared" si="1"/>
        <v>0</v>
      </c>
      <c r="D96" s="57">
        <f t="shared" si="2"/>
        <v>0.17016175157688873</v>
      </c>
      <c r="E96" s="58">
        <f t="shared" si="3"/>
        <v>0.61424745996008734</v>
      </c>
      <c r="F96" s="59"/>
    </row>
    <row r="97" spans="1:6" s="1" customFormat="1" ht="14.25" customHeight="1">
      <c r="A97" s="12" t="s">
        <v>28</v>
      </c>
      <c r="B97" s="57">
        <f t="shared" si="0"/>
        <v>0</v>
      </c>
      <c r="C97" s="57">
        <f t="shared" si="1"/>
        <v>2.6180694072549485E-4</v>
      </c>
      <c r="D97" s="57">
        <f t="shared" si="2"/>
        <v>0</v>
      </c>
      <c r="E97" s="58">
        <f t="shared" si="3"/>
        <v>2.6180694072549485E-4</v>
      </c>
      <c r="F97" s="59"/>
    </row>
    <row r="98" spans="1:6" s="1" customFormat="1" ht="14.25" customHeight="1">
      <c r="A98" s="12" t="s">
        <v>95</v>
      </c>
      <c r="B98" s="57">
        <f t="shared" si="0"/>
        <v>2.7424240236997528E-2</v>
      </c>
      <c r="C98" s="57">
        <f t="shared" si="1"/>
        <v>0</v>
      </c>
      <c r="D98" s="57">
        <f t="shared" si="2"/>
        <v>0</v>
      </c>
      <c r="E98" s="58">
        <f t="shared" si="3"/>
        <v>2.7424240236997528E-2</v>
      </c>
      <c r="F98" s="59"/>
    </row>
    <row r="99" spans="1:6" s="1" customFormat="1" ht="14.25" customHeight="1">
      <c r="A99" s="12" t="s">
        <v>29</v>
      </c>
      <c r="B99" s="57">
        <f t="shared" si="0"/>
        <v>0.74014284730533098</v>
      </c>
      <c r="C99" s="57">
        <f t="shared" si="1"/>
        <v>0</v>
      </c>
      <c r="D99" s="57">
        <f t="shared" si="2"/>
        <v>0</v>
      </c>
      <c r="E99" s="58">
        <f t="shared" si="3"/>
        <v>0.74014284730533098</v>
      </c>
      <c r="F99" s="59"/>
    </row>
    <row r="100" spans="1:6" s="1" customFormat="1" ht="14.25" customHeight="1">
      <c r="A100" s="12" t="s">
        <v>30</v>
      </c>
      <c r="B100" s="57">
        <f t="shared" si="0"/>
        <v>0.60769623252437699</v>
      </c>
      <c r="C100" s="57">
        <f t="shared" si="1"/>
        <v>0</v>
      </c>
      <c r="D100" s="57">
        <f t="shared" si="2"/>
        <v>0</v>
      </c>
      <c r="E100" s="58">
        <f t="shared" si="3"/>
        <v>0.60769623252437699</v>
      </c>
      <c r="F100" s="59"/>
    </row>
    <row r="101" spans="1:6" s="1" customFormat="1" ht="14.25" customHeight="1" thickBot="1">
      <c r="A101" s="13" t="s">
        <v>31</v>
      </c>
      <c r="B101" s="163">
        <f>SUM(B92:D100)</f>
        <v>2.2848201814578801</v>
      </c>
      <c r="C101" s="163"/>
      <c r="D101" s="163"/>
      <c r="E101" s="60">
        <f>B101</f>
        <v>2.2848201814578801</v>
      </c>
    </row>
    <row r="102" spans="1:6" ht="14.25" customHeight="1"/>
    <row r="103" spans="1:6" s="44" customFormat="1" ht="15">
      <c r="A103" s="46" t="s">
        <v>56</v>
      </c>
      <c r="B103" s="53"/>
      <c r="C103" s="53"/>
      <c r="D103" s="53"/>
      <c r="E103" s="53"/>
      <c r="F103" s="36"/>
    </row>
    <row r="104" spans="1:6" ht="13.5" thickBot="1"/>
    <row r="105" spans="1:6" s="1" customFormat="1" ht="37.5" customHeight="1">
      <c r="A105" s="167" t="s">
        <v>51</v>
      </c>
      <c r="B105" s="164" t="s">
        <v>53</v>
      </c>
      <c r="C105" s="180"/>
      <c r="D105" s="178" t="s">
        <v>54</v>
      </c>
    </row>
    <row r="106" spans="1:6" s="1" customFormat="1" ht="22.5" customHeight="1" thickBot="1">
      <c r="A106" s="168"/>
      <c r="B106" s="55" t="s">
        <v>55</v>
      </c>
      <c r="C106" s="56" t="s">
        <v>22</v>
      </c>
      <c r="D106" s="179"/>
    </row>
    <row r="107" spans="1:6" s="1" customFormat="1" ht="15">
      <c r="A107" s="12" t="s">
        <v>23</v>
      </c>
      <c r="B107" s="57">
        <f t="shared" ref="B107:B115" si="4">$E$75*$B$86/2000*C36</f>
        <v>3.7943034887752847E-3</v>
      </c>
      <c r="C107" s="57">
        <f t="shared" ref="C107:C115" si="5">$E$76*$B$86/2000*D36</f>
        <v>0</v>
      </c>
      <c r="D107" s="58">
        <f t="shared" ref="D107:D115" si="6">SUM(B107:C107)</f>
        <v>3.7943034887752847E-3</v>
      </c>
      <c r="E107" s="110"/>
    </row>
    <row r="108" spans="1:6" s="1" customFormat="1" ht="15">
      <c r="A108" s="12" t="s">
        <v>24</v>
      </c>
      <c r="B108" s="57">
        <f t="shared" si="4"/>
        <v>0</v>
      </c>
      <c r="C108" s="57">
        <f t="shared" si="5"/>
        <v>4.9322246833880749E-2</v>
      </c>
      <c r="D108" s="58">
        <f t="shared" si="6"/>
        <v>4.9322246833880749E-2</v>
      </c>
      <c r="E108" s="110"/>
    </row>
    <row r="109" spans="1:6" s="1" customFormat="1" ht="15">
      <c r="A109" s="12" t="s">
        <v>26</v>
      </c>
      <c r="B109" s="57">
        <f t="shared" si="4"/>
        <v>0</v>
      </c>
      <c r="C109" s="57">
        <f t="shared" si="5"/>
        <v>0</v>
      </c>
      <c r="D109" s="58">
        <f t="shared" si="6"/>
        <v>0</v>
      </c>
      <c r="E109" s="110"/>
    </row>
    <row r="110" spans="1:6" s="1" customFormat="1" ht="15">
      <c r="A110" s="12" t="s">
        <v>27</v>
      </c>
      <c r="B110" s="57">
        <f t="shared" si="4"/>
        <v>0</v>
      </c>
      <c r="C110" s="57">
        <f t="shared" si="5"/>
        <v>0</v>
      </c>
      <c r="D110" s="58">
        <f t="shared" si="6"/>
        <v>0</v>
      </c>
      <c r="E110" s="110"/>
    </row>
    <row r="111" spans="1:6" s="1" customFormat="1" ht="15">
      <c r="A111" s="12" t="s">
        <v>76</v>
      </c>
      <c r="B111" s="57">
        <f t="shared" si="4"/>
        <v>0</v>
      </c>
      <c r="C111" s="57">
        <f t="shared" si="5"/>
        <v>2.4661123416940374</v>
      </c>
      <c r="D111" s="58">
        <f t="shared" si="6"/>
        <v>2.4661123416940374</v>
      </c>
      <c r="E111" s="110"/>
    </row>
    <row r="112" spans="1:6" s="1" customFormat="1" ht="15">
      <c r="A112" s="12" t="s">
        <v>28</v>
      </c>
      <c r="B112" s="57">
        <f t="shared" si="4"/>
        <v>3.7943034887752847E-3</v>
      </c>
      <c r="C112" s="57">
        <f t="shared" si="5"/>
        <v>0</v>
      </c>
      <c r="D112" s="58">
        <f t="shared" si="6"/>
        <v>3.7943034887752847E-3</v>
      </c>
      <c r="E112" s="110"/>
    </row>
    <row r="113" spans="1:5" s="1" customFormat="1" ht="15">
      <c r="A113" s="12" t="s">
        <v>95</v>
      </c>
      <c r="B113" s="57">
        <f t="shared" si="4"/>
        <v>0</v>
      </c>
      <c r="C113" s="57">
        <f t="shared" si="5"/>
        <v>0</v>
      </c>
      <c r="D113" s="58">
        <f t="shared" si="6"/>
        <v>0</v>
      </c>
      <c r="E113" s="110"/>
    </row>
    <row r="114" spans="1:5" s="1" customFormat="1" ht="15">
      <c r="A114" s="12" t="s">
        <v>29</v>
      </c>
      <c r="B114" s="57">
        <f t="shared" si="4"/>
        <v>0</v>
      </c>
      <c r="C114" s="57">
        <f t="shared" si="5"/>
        <v>0</v>
      </c>
      <c r="D114" s="58">
        <f t="shared" si="6"/>
        <v>0</v>
      </c>
      <c r="E114" s="110"/>
    </row>
    <row r="115" spans="1:5" s="1" customFormat="1" ht="15">
      <c r="A115" s="12" t="s">
        <v>30</v>
      </c>
      <c r="B115" s="57">
        <f t="shared" si="4"/>
        <v>0</v>
      </c>
      <c r="C115" s="57">
        <f t="shared" si="5"/>
        <v>0</v>
      </c>
      <c r="D115" s="58">
        <f t="shared" si="6"/>
        <v>0</v>
      </c>
      <c r="E115" s="110"/>
    </row>
    <row r="116" spans="1:5" s="1" customFormat="1" ht="15.75" thickBot="1">
      <c r="A116" s="13" t="s">
        <v>31</v>
      </c>
      <c r="B116" s="163">
        <f>SUM(B107:C115)</f>
        <v>2.5230231955054685</v>
      </c>
      <c r="C116" s="175"/>
      <c r="D116" s="60">
        <f>B116</f>
        <v>2.5230231955054685</v>
      </c>
      <c r="E116" s="110"/>
    </row>
    <row r="118" spans="1:5" ht="14.25">
      <c r="A118" s="35" t="s">
        <v>57</v>
      </c>
    </row>
    <row r="119" spans="1:5" ht="13.5" thickBot="1"/>
    <row r="120" spans="1:5">
      <c r="A120" s="171" t="s">
        <v>58</v>
      </c>
      <c r="B120" s="173" t="s">
        <v>59</v>
      </c>
      <c r="C120" s="173" t="s">
        <v>101</v>
      </c>
    </row>
    <row r="121" spans="1:5" ht="60" customHeight="1" thickBot="1">
      <c r="A121" s="172"/>
      <c r="B121" s="174"/>
      <c r="C121" s="174"/>
    </row>
    <row r="122" spans="1:5" ht="15">
      <c r="A122" s="61" t="s">
        <v>60</v>
      </c>
      <c r="B122" s="111">
        <f>MAX(D85:D86)</f>
        <v>23.903742127264501</v>
      </c>
      <c r="C122" s="39" t="str">
        <f>IF(B122=D85, "Truck", "Rail")</f>
        <v>Rail</v>
      </c>
    </row>
    <row r="123" spans="1:5" ht="15">
      <c r="A123" s="84" t="s">
        <v>19</v>
      </c>
      <c r="B123" s="112"/>
      <c r="C123" s="62"/>
    </row>
    <row r="124" spans="1:5" ht="15">
      <c r="A124" s="12" t="s">
        <v>23</v>
      </c>
      <c r="B124" s="113">
        <f t="shared" ref="B124:B133" si="7">MAX(E92,D107)</f>
        <v>3.7943034887752847E-3</v>
      </c>
      <c r="C124" s="114" t="str">
        <f>IF(B124=E92, "Truck", "Rail")</f>
        <v>Rail</v>
      </c>
    </row>
    <row r="125" spans="1:5" ht="15">
      <c r="A125" s="12" t="s">
        <v>24</v>
      </c>
      <c r="B125" s="113">
        <f t="shared" si="7"/>
        <v>0.13896624074851419</v>
      </c>
      <c r="C125" s="114" t="str">
        <f t="shared" ref="C125:C133" si="8">IF(B125=E93, "Truck", "Rail")</f>
        <v>Truck</v>
      </c>
    </row>
    <row r="126" spans="1:5" ht="15">
      <c r="A126" s="12" t="s">
        <v>26</v>
      </c>
      <c r="B126" s="113">
        <f t="shared" si="7"/>
        <v>7.0118796060505043E-2</v>
      </c>
      <c r="C126" s="114" t="str">
        <f t="shared" si="8"/>
        <v>Truck</v>
      </c>
    </row>
    <row r="127" spans="1:5" ht="15">
      <c r="A127" s="12" t="s">
        <v>27</v>
      </c>
      <c r="B127" s="113">
        <f t="shared" si="7"/>
        <v>8.5700750740617268E-2</v>
      </c>
      <c r="C127" s="114" t="str">
        <f t="shared" si="8"/>
        <v>Truck</v>
      </c>
    </row>
    <row r="128" spans="1:5" ht="15">
      <c r="A128" s="12" t="s">
        <v>76</v>
      </c>
      <c r="B128" s="113">
        <f t="shared" si="7"/>
        <v>2.4661123416940374</v>
      </c>
      <c r="C128" s="114" t="str">
        <f t="shared" si="8"/>
        <v>Rail</v>
      </c>
    </row>
    <row r="129" spans="1:3" ht="15">
      <c r="A129" s="12" t="s">
        <v>28</v>
      </c>
      <c r="B129" s="113">
        <f t="shared" si="7"/>
        <v>3.7943034887752847E-3</v>
      </c>
      <c r="C129" s="114" t="str">
        <f t="shared" si="8"/>
        <v>Rail</v>
      </c>
    </row>
    <row r="130" spans="1:3" ht="15">
      <c r="A130" s="12" t="s">
        <v>95</v>
      </c>
      <c r="B130" s="113">
        <f t="shared" si="7"/>
        <v>2.7424240236997528E-2</v>
      </c>
      <c r="C130" s="114" t="str">
        <f t="shared" si="8"/>
        <v>Truck</v>
      </c>
    </row>
    <row r="131" spans="1:3" ht="15">
      <c r="A131" s="12" t="s">
        <v>29</v>
      </c>
      <c r="B131" s="113">
        <f t="shared" si="7"/>
        <v>0.74014284730533098</v>
      </c>
      <c r="C131" s="114" t="str">
        <f t="shared" si="8"/>
        <v>Truck</v>
      </c>
    </row>
    <row r="132" spans="1:3" ht="15">
      <c r="A132" s="12" t="s">
        <v>30</v>
      </c>
      <c r="B132" s="113">
        <f t="shared" si="7"/>
        <v>0.60769623252437699</v>
      </c>
      <c r="C132" s="114" t="str">
        <f t="shared" si="8"/>
        <v>Truck</v>
      </c>
    </row>
    <row r="133" spans="1:3" ht="15.75" thickBot="1">
      <c r="A133" s="13" t="s">
        <v>31</v>
      </c>
      <c r="B133" s="115">
        <f t="shared" si="7"/>
        <v>2.5230231955054685</v>
      </c>
      <c r="C133" s="116" t="str">
        <f t="shared" si="8"/>
        <v>Rail</v>
      </c>
    </row>
  </sheetData>
  <mergeCells count="14">
    <mergeCell ref="A34:A35"/>
    <mergeCell ref="B34:D34"/>
    <mergeCell ref="A90:A91"/>
    <mergeCell ref="B90:D90"/>
    <mergeCell ref="A120:A121"/>
    <mergeCell ref="B120:B121"/>
    <mergeCell ref="B116:C116"/>
    <mergeCell ref="A80:E80"/>
    <mergeCell ref="E90:E91"/>
    <mergeCell ref="B101:D101"/>
    <mergeCell ref="A105:A106"/>
    <mergeCell ref="B105:C105"/>
    <mergeCell ref="D105:D106"/>
    <mergeCell ref="C120:C121"/>
  </mergeCells>
  <pageMargins left="0.75" right="0.75" top="1" bottom="1" header="0.5" footer="0.5"/>
  <pageSetup scale="89" fitToHeight="2" orientation="landscape" r:id="rId1"/>
  <headerFooter alignWithMargins="0"/>
  <rowBreaks count="4" manualBreakCount="4">
    <brk id="30" max="4" man="1"/>
    <brk id="68" max="4" man="1"/>
    <brk id="87" max="4" man="1"/>
    <brk id="117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0</xdr:col>
                <xdr:colOff>66675</xdr:colOff>
                <xdr:row>24</xdr:row>
                <xdr:rowOff>104775</xdr:rowOff>
              </from>
              <to>
                <xdr:col>1</xdr:col>
                <xdr:colOff>885825</xdr:colOff>
                <xdr:row>29</xdr:row>
                <xdr:rowOff>76200</xdr:rowOff>
              </to>
            </anchor>
          </objectPr>
        </oleObject>
      </mc:Choice>
      <mc:Fallback>
        <oleObject progId="Equation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34" workbookViewId="0">
      <selection activeCell="L11" sqref="L11"/>
    </sheetView>
  </sheetViews>
  <sheetFormatPr defaultRowHeight="12.75"/>
  <cols>
    <col min="1" max="1" width="22" customWidth="1"/>
    <col min="3" max="3" width="10.5703125" customWidth="1"/>
    <col min="9" max="9" width="10.42578125" customWidth="1"/>
  </cols>
  <sheetData>
    <row r="1" spans="1:8" s="108" customFormat="1" ht="20.25">
      <c r="A1" s="109" t="s">
        <v>100</v>
      </c>
    </row>
    <row r="3" spans="1:8">
      <c r="A3" s="92" t="s">
        <v>87</v>
      </c>
    </row>
    <row r="4" spans="1:8">
      <c r="B4" t="s">
        <v>77</v>
      </c>
      <c r="C4" t="s">
        <v>78</v>
      </c>
      <c r="D4" t="s">
        <v>79</v>
      </c>
      <c r="E4" t="s">
        <v>81</v>
      </c>
      <c r="F4" t="s">
        <v>82</v>
      </c>
      <c r="G4" t="s">
        <v>84</v>
      </c>
      <c r="H4" s="94" t="s">
        <v>85</v>
      </c>
    </row>
    <row r="5" spans="1:8" ht="15">
      <c r="A5" s="12" t="s">
        <v>23</v>
      </c>
      <c r="H5" s="94"/>
    </row>
    <row r="6" spans="1:8" ht="15">
      <c r="A6" s="12" t="s">
        <v>24</v>
      </c>
      <c r="B6">
        <v>5</v>
      </c>
      <c r="C6">
        <v>5</v>
      </c>
      <c r="D6">
        <v>5</v>
      </c>
      <c r="E6">
        <v>2</v>
      </c>
      <c r="F6">
        <v>1</v>
      </c>
      <c r="G6">
        <v>2</v>
      </c>
      <c r="H6" s="94">
        <f>AVERAGE(B6:G6)</f>
        <v>3.3333333333333335</v>
      </c>
    </row>
    <row r="7" spans="1:8" ht="15">
      <c r="A7" s="12" t="s">
        <v>25</v>
      </c>
      <c r="H7" s="94"/>
    </row>
    <row r="8" spans="1:8" ht="15">
      <c r="A8" s="12" t="s">
        <v>26</v>
      </c>
      <c r="H8" s="94"/>
    </row>
    <row r="9" spans="1:8" ht="15">
      <c r="A9" s="152" t="s">
        <v>27</v>
      </c>
      <c r="B9" s="108">
        <v>0</v>
      </c>
      <c r="C9" s="108">
        <v>0</v>
      </c>
      <c r="D9" s="108">
        <v>5</v>
      </c>
      <c r="E9" s="108">
        <v>0</v>
      </c>
      <c r="F9" s="108">
        <v>0</v>
      </c>
      <c r="G9" s="108">
        <v>0</v>
      </c>
      <c r="H9" s="153">
        <f>AVERAGE(B9:G9)</f>
        <v>0.83333333333333337</v>
      </c>
    </row>
    <row r="10" spans="1:8" ht="15">
      <c r="A10" s="12" t="s">
        <v>127</v>
      </c>
      <c r="B10">
        <v>20</v>
      </c>
      <c r="C10">
        <v>0</v>
      </c>
      <c r="D10">
        <v>45</v>
      </c>
      <c r="E10">
        <v>13</v>
      </c>
      <c r="F10">
        <v>13</v>
      </c>
      <c r="G10">
        <v>13</v>
      </c>
      <c r="H10" s="94">
        <f>AVERAGE(B10:G10)</f>
        <v>17.333333333333332</v>
      </c>
    </row>
    <row r="11" spans="1:8" ht="15">
      <c r="A11" s="12" t="s">
        <v>28</v>
      </c>
      <c r="H11" s="94"/>
    </row>
    <row r="12" spans="1:8" ht="15">
      <c r="A12" s="12" t="s">
        <v>29</v>
      </c>
      <c r="B12">
        <v>0</v>
      </c>
      <c r="C12">
        <v>10</v>
      </c>
      <c r="D12" s="108">
        <v>5</v>
      </c>
      <c r="E12">
        <v>0</v>
      </c>
      <c r="F12">
        <v>7</v>
      </c>
      <c r="G12">
        <v>0</v>
      </c>
      <c r="H12" s="94">
        <f>AVERAGE(B12:G12)</f>
        <v>3.6666666666666665</v>
      </c>
    </row>
    <row r="13" spans="1:8" ht="15">
      <c r="A13" s="12" t="s">
        <v>30</v>
      </c>
    </row>
    <row r="14" spans="1:8" ht="14.25">
      <c r="A14" s="135" t="s">
        <v>109</v>
      </c>
      <c r="B14" s="92">
        <f>SUM(B5:B13)</f>
        <v>25</v>
      </c>
      <c r="C14" s="92">
        <f t="shared" ref="C14:G14" si="0">SUM(C5:C13)</f>
        <v>15</v>
      </c>
      <c r="D14" s="92">
        <f>SUM(D5:D13)</f>
        <v>60</v>
      </c>
      <c r="E14" s="92">
        <f t="shared" si="0"/>
        <v>15</v>
      </c>
      <c r="F14" s="92">
        <f t="shared" si="0"/>
        <v>21</v>
      </c>
      <c r="G14" s="92">
        <f t="shared" si="0"/>
        <v>15</v>
      </c>
    </row>
    <row r="15" spans="1:8" ht="14.25">
      <c r="A15" s="93" t="s">
        <v>86</v>
      </c>
    </row>
    <row r="16" spans="1:8">
      <c r="A16" s="144" t="s">
        <v>130</v>
      </c>
    </row>
    <row r="17" spans="1:10">
      <c r="A17" s="144" t="s">
        <v>128</v>
      </c>
    </row>
    <row r="18" spans="1:10">
      <c r="A18" s="144" t="s">
        <v>80</v>
      </c>
    </row>
    <row r="19" spans="1:10">
      <c r="A19" s="144" t="s">
        <v>131</v>
      </c>
    </row>
    <row r="20" spans="1:10">
      <c r="A20" s="144" t="s">
        <v>129</v>
      </c>
    </row>
    <row r="21" spans="1:10">
      <c r="A21" s="144" t="s">
        <v>83</v>
      </c>
    </row>
    <row r="25" spans="1:10">
      <c r="A25" s="92" t="s">
        <v>88</v>
      </c>
    </row>
    <row r="26" spans="1:10">
      <c r="B26" s="160" t="s">
        <v>77</v>
      </c>
      <c r="C26" s="160" t="s">
        <v>89</v>
      </c>
      <c r="D26" s="160" t="s">
        <v>93</v>
      </c>
      <c r="E26" s="160" t="s">
        <v>91</v>
      </c>
      <c r="F26" s="156"/>
      <c r="G26" s="156"/>
      <c r="H26" s="156"/>
      <c r="I26" s="157" t="s">
        <v>85</v>
      </c>
    </row>
    <row r="27" spans="1:10" ht="15">
      <c r="A27" s="154" t="s">
        <v>23</v>
      </c>
      <c r="B27" s="156">
        <v>0</v>
      </c>
      <c r="C27" s="156">
        <v>0</v>
      </c>
      <c r="D27" s="156">
        <v>0</v>
      </c>
      <c r="E27" s="156">
        <v>0</v>
      </c>
      <c r="F27" s="156"/>
      <c r="G27" s="156"/>
      <c r="H27" s="156"/>
      <c r="I27" s="157">
        <f>AVERAGE(B27:E27)</f>
        <v>0</v>
      </c>
    </row>
    <row r="28" spans="1:10" ht="15">
      <c r="A28" s="154" t="s">
        <v>24</v>
      </c>
      <c r="B28" s="156">
        <v>4.9000000000000004</v>
      </c>
      <c r="C28" s="156">
        <v>1.5</v>
      </c>
      <c r="D28" s="156">
        <v>4.9000000000000004</v>
      </c>
      <c r="E28" s="156">
        <v>1.3</v>
      </c>
      <c r="F28" s="156"/>
      <c r="G28" s="156"/>
      <c r="H28" s="156"/>
      <c r="I28" s="157">
        <f t="shared" ref="I28:I36" si="1">AVERAGE(B28:E28)</f>
        <v>3.1500000000000004</v>
      </c>
    </row>
    <row r="29" spans="1:10" ht="15">
      <c r="A29" s="154" t="s">
        <v>25</v>
      </c>
      <c r="B29" s="156">
        <v>0</v>
      </c>
      <c r="C29" s="156">
        <v>0</v>
      </c>
      <c r="D29" s="156">
        <v>0</v>
      </c>
      <c r="E29" s="156">
        <v>0</v>
      </c>
      <c r="F29" s="156"/>
      <c r="G29" s="156"/>
      <c r="H29" s="156"/>
      <c r="I29" s="157">
        <f t="shared" si="1"/>
        <v>0</v>
      </c>
      <c r="J29" s="136"/>
    </row>
    <row r="30" spans="1:10" ht="15">
      <c r="A30" s="154" t="s">
        <v>26</v>
      </c>
      <c r="B30" s="156">
        <v>5</v>
      </c>
      <c r="C30" s="156">
        <v>4</v>
      </c>
      <c r="D30" s="156">
        <v>4</v>
      </c>
      <c r="E30" s="156">
        <v>0.5</v>
      </c>
      <c r="F30" s="156"/>
      <c r="G30" s="156"/>
      <c r="H30" s="156"/>
      <c r="I30" s="157">
        <f>AVERAGE(B30:E30)</f>
        <v>3.375</v>
      </c>
      <c r="J30" s="136"/>
    </row>
    <row r="31" spans="1:10" ht="15">
      <c r="A31" s="154" t="s">
        <v>27</v>
      </c>
      <c r="B31" s="156">
        <v>5</v>
      </c>
      <c r="C31" s="156">
        <v>2.5</v>
      </c>
      <c r="D31" s="156">
        <v>4</v>
      </c>
      <c r="E31" s="156">
        <v>5</v>
      </c>
      <c r="F31" s="156"/>
      <c r="G31" s="156"/>
      <c r="H31" s="156"/>
      <c r="I31" s="157">
        <f t="shared" si="1"/>
        <v>4.125</v>
      </c>
      <c r="J31" s="136"/>
    </row>
    <row r="32" spans="1:10" ht="15">
      <c r="A32" s="154" t="s">
        <v>124</v>
      </c>
      <c r="B32" s="156">
        <v>3</v>
      </c>
      <c r="C32" s="156">
        <v>4.5</v>
      </c>
      <c r="D32" s="156">
        <v>3</v>
      </c>
      <c r="E32" s="156">
        <v>5</v>
      </c>
      <c r="F32" s="156"/>
      <c r="G32" s="156"/>
      <c r="H32" s="156"/>
      <c r="I32" s="157">
        <f t="shared" si="1"/>
        <v>3.875</v>
      </c>
      <c r="J32" s="136"/>
    </row>
    <row r="33" spans="1:10" ht="15">
      <c r="A33" s="154" t="s">
        <v>28</v>
      </c>
      <c r="B33" s="156">
        <v>0</v>
      </c>
      <c r="C33" s="156">
        <v>0</v>
      </c>
      <c r="D33" s="156">
        <v>0</v>
      </c>
      <c r="E33" s="156">
        <v>0</v>
      </c>
      <c r="F33" s="156"/>
      <c r="G33" s="156"/>
      <c r="H33" s="156"/>
      <c r="I33" s="157">
        <f t="shared" si="1"/>
        <v>0</v>
      </c>
      <c r="J33" s="136"/>
    </row>
    <row r="34" spans="1:10" ht="15">
      <c r="A34" s="154" t="s">
        <v>90</v>
      </c>
      <c r="B34" s="156">
        <v>0</v>
      </c>
      <c r="C34" s="156">
        <v>0.5</v>
      </c>
      <c r="D34" s="156">
        <v>2</v>
      </c>
      <c r="E34" s="156">
        <v>0.5</v>
      </c>
      <c r="F34" s="156"/>
      <c r="G34" s="156"/>
      <c r="H34" s="156"/>
      <c r="I34" s="157">
        <f t="shared" si="1"/>
        <v>0.75</v>
      </c>
      <c r="J34" s="136"/>
    </row>
    <row r="35" spans="1:10" ht="15">
      <c r="A35" s="154" t="s">
        <v>92</v>
      </c>
      <c r="B35" s="156">
        <v>0</v>
      </c>
      <c r="C35" s="156">
        <v>0</v>
      </c>
      <c r="D35" s="156">
        <v>1</v>
      </c>
      <c r="E35" s="156">
        <v>0</v>
      </c>
      <c r="F35" s="156"/>
      <c r="G35" s="156"/>
      <c r="H35" s="156"/>
      <c r="I35" s="157">
        <f>AVERAGE(B35:E35)</f>
        <v>0.25</v>
      </c>
      <c r="J35" s="136"/>
    </row>
    <row r="36" spans="1:10" ht="15">
      <c r="A36" s="154" t="s">
        <v>29</v>
      </c>
      <c r="B36" s="156">
        <v>30</v>
      </c>
      <c r="C36" s="156">
        <v>9.5</v>
      </c>
      <c r="D36" s="156">
        <v>20</v>
      </c>
      <c r="E36" s="156">
        <v>25</v>
      </c>
      <c r="F36" s="156"/>
      <c r="G36" s="156"/>
      <c r="H36" s="156"/>
      <c r="I36" s="157">
        <f t="shared" si="1"/>
        <v>21.125</v>
      </c>
      <c r="J36" s="136"/>
    </row>
    <row r="37" spans="1:10" ht="15">
      <c r="A37" s="155" t="s">
        <v>30</v>
      </c>
      <c r="B37" s="158">
        <v>25</v>
      </c>
      <c r="C37" s="158">
        <v>9.5</v>
      </c>
      <c r="D37" s="158">
        <v>20</v>
      </c>
      <c r="E37" s="158">
        <v>25</v>
      </c>
      <c r="F37" s="158"/>
      <c r="G37" s="158"/>
      <c r="H37" s="158"/>
      <c r="I37" s="159">
        <f>AVERAGE(B37:E37)</f>
        <v>19.875</v>
      </c>
      <c r="J37" s="136"/>
    </row>
    <row r="39" spans="1:10" ht="14.25">
      <c r="A39" s="93" t="s">
        <v>86</v>
      </c>
    </row>
    <row r="40" spans="1:10">
      <c r="A40" s="144" t="s">
        <v>132</v>
      </c>
    </row>
    <row r="41" spans="1:10">
      <c r="A41" s="144" t="s">
        <v>126</v>
      </c>
    </row>
    <row r="42" spans="1:10">
      <c r="A42" s="144" t="s">
        <v>94</v>
      </c>
    </row>
    <row r="43" spans="1:10">
      <c r="A43" s="144" t="s">
        <v>125</v>
      </c>
    </row>
    <row r="46" spans="1:10" ht="15">
      <c r="A46" s="139" t="s">
        <v>111</v>
      </c>
      <c r="B46" s="138"/>
      <c r="C46" s="138"/>
      <c r="D46" s="138"/>
      <c r="E46" s="138"/>
      <c r="F46" s="138"/>
      <c r="G46" s="138"/>
      <c r="H46" s="138"/>
      <c r="I46" s="138"/>
    </row>
    <row r="47" spans="1:10" ht="15">
      <c r="A47" s="141"/>
      <c r="B47" s="141" t="s">
        <v>77</v>
      </c>
      <c r="C47" s="141" t="s">
        <v>89</v>
      </c>
      <c r="D47" s="141" t="s">
        <v>93</v>
      </c>
      <c r="E47" s="141"/>
      <c r="F47" s="141"/>
      <c r="G47" s="141"/>
      <c r="H47" s="141"/>
      <c r="I47" s="142" t="s">
        <v>85</v>
      </c>
    </row>
    <row r="48" spans="1:10" ht="15">
      <c r="A48" s="143" t="s">
        <v>112</v>
      </c>
      <c r="B48" s="141">
        <v>0</v>
      </c>
      <c r="C48" s="141">
        <v>0</v>
      </c>
      <c r="D48" s="141">
        <v>0</v>
      </c>
      <c r="E48" s="141"/>
      <c r="F48" s="141"/>
      <c r="G48" s="141"/>
      <c r="H48" s="141"/>
      <c r="I48" s="142">
        <f>AVERAGE(B48:D48)</f>
        <v>0</v>
      </c>
    </row>
    <row r="49" spans="1:9" ht="15">
      <c r="A49" s="143" t="s">
        <v>113</v>
      </c>
      <c r="B49" s="141">
        <v>0.5</v>
      </c>
      <c r="C49" s="141">
        <v>0</v>
      </c>
      <c r="D49" s="141">
        <v>0</v>
      </c>
      <c r="E49" s="141"/>
      <c r="F49" s="141"/>
      <c r="G49" s="141"/>
      <c r="H49" s="141"/>
      <c r="I49" s="142">
        <f t="shared" ref="I49:I58" si="2">AVERAGE(B49:D49)</f>
        <v>0.16666666666666666</v>
      </c>
    </row>
    <row r="50" spans="1:9" ht="15">
      <c r="A50" s="143" t="s">
        <v>114</v>
      </c>
      <c r="B50" s="141">
        <v>0</v>
      </c>
      <c r="C50" s="141">
        <v>0</v>
      </c>
      <c r="D50" s="141">
        <v>0</v>
      </c>
      <c r="E50" s="141"/>
      <c r="F50" s="141"/>
      <c r="G50" s="141"/>
      <c r="H50" s="141"/>
      <c r="I50" s="142">
        <f t="shared" si="2"/>
        <v>0</v>
      </c>
    </row>
    <row r="51" spans="1:9" ht="15">
      <c r="A51" s="143" t="s">
        <v>115</v>
      </c>
      <c r="B51" s="141">
        <v>0</v>
      </c>
      <c r="C51" s="141">
        <v>0</v>
      </c>
      <c r="D51" s="141">
        <v>1</v>
      </c>
      <c r="E51" s="141"/>
      <c r="F51" s="141"/>
      <c r="G51" s="141"/>
      <c r="H51" s="141"/>
      <c r="I51" s="142">
        <f t="shared" si="2"/>
        <v>0.33333333333333331</v>
      </c>
    </row>
    <row r="52" spans="1:9" ht="15">
      <c r="A52" s="143" t="s">
        <v>116</v>
      </c>
      <c r="B52" s="141">
        <v>1</v>
      </c>
      <c r="C52" s="141">
        <v>0</v>
      </c>
      <c r="D52" s="141">
        <v>1</v>
      </c>
      <c r="E52" s="141"/>
      <c r="F52" s="141"/>
      <c r="G52" s="141"/>
      <c r="H52" s="141"/>
      <c r="I52" s="142">
        <f t="shared" si="2"/>
        <v>0.66666666666666663</v>
      </c>
    </row>
    <row r="53" spans="1:9" ht="15">
      <c r="A53" s="143" t="s">
        <v>117</v>
      </c>
      <c r="B53" s="141">
        <v>1</v>
      </c>
      <c r="C53" s="141">
        <v>0</v>
      </c>
      <c r="D53" s="141">
        <v>0</v>
      </c>
      <c r="E53" s="141"/>
      <c r="F53" s="141"/>
      <c r="G53" s="141"/>
      <c r="H53" s="141"/>
      <c r="I53" s="142">
        <f t="shared" si="2"/>
        <v>0.33333333333333331</v>
      </c>
    </row>
    <row r="54" spans="1:9" ht="15">
      <c r="A54" s="143" t="s">
        <v>118</v>
      </c>
      <c r="B54" s="141">
        <v>0</v>
      </c>
      <c r="C54" s="141">
        <v>0</v>
      </c>
      <c r="D54" s="141">
        <v>0</v>
      </c>
      <c r="E54" s="141"/>
      <c r="F54" s="141"/>
      <c r="G54" s="141"/>
      <c r="H54" s="141"/>
      <c r="I54" s="142">
        <f t="shared" si="2"/>
        <v>0</v>
      </c>
    </row>
    <row r="55" spans="1:9" ht="15">
      <c r="A55" s="143" t="s">
        <v>90</v>
      </c>
      <c r="B55" s="141">
        <v>1</v>
      </c>
      <c r="C55" s="141">
        <v>0.5</v>
      </c>
      <c r="D55" s="141">
        <v>1</v>
      </c>
      <c r="E55" s="141"/>
      <c r="F55" s="141"/>
      <c r="G55" s="141"/>
      <c r="H55" s="141"/>
      <c r="I55" s="142">
        <f t="shared" si="2"/>
        <v>0.83333333333333337</v>
      </c>
    </row>
    <row r="56" spans="1:9" ht="15">
      <c r="A56" s="143" t="s">
        <v>92</v>
      </c>
      <c r="B56" s="141">
        <v>0</v>
      </c>
      <c r="C56" s="141">
        <v>0</v>
      </c>
      <c r="D56" s="141">
        <v>0</v>
      </c>
      <c r="E56" s="141"/>
      <c r="F56" s="141"/>
      <c r="G56" s="141"/>
      <c r="H56" s="141"/>
      <c r="I56" s="142">
        <f t="shared" si="2"/>
        <v>0</v>
      </c>
    </row>
    <row r="57" spans="1:9" ht="15">
      <c r="A57" s="143" t="s">
        <v>119</v>
      </c>
      <c r="B57" s="141">
        <v>1</v>
      </c>
      <c r="C57" s="141">
        <v>0</v>
      </c>
      <c r="D57" s="141">
        <v>0</v>
      </c>
      <c r="E57" s="141"/>
      <c r="F57" s="141"/>
      <c r="G57" s="141"/>
      <c r="H57" s="141"/>
      <c r="I57" s="142">
        <f t="shared" si="2"/>
        <v>0.33333333333333331</v>
      </c>
    </row>
    <row r="58" spans="1:9" ht="15">
      <c r="A58" s="143" t="s">
        <v>120</v>
      </c>
      <c r="B58" s="141">
        <v>1</v>
      </c>
      <c r="C58" s="141">
        <v>0</v>
      </c>
      <c r="D58" s="141">
        <v>1</v>
      </c>
      <c r="E58" s="141"/>
      <c r="F58" s="141"/>
      <c r="G58" s="141"/>
      <c r="H58" s="141"/>
      <c r="I58" s="142">
        <f t="shared" si="2"/>
        <v>0.66666666666666663</v>
      </c>
    </row>
    <row r="59" spans="1:9" ht="15">
      <c r="A59" s="138"/>
      <c r="B59" s="138"/>
      <c r="C59" s="138"/>
      <c r="D59" s="138"/>
      <c r="E59" s="138"/>
      <c r="F59" s="138"/>
      <c r="G59" s="138"/>
      <c r="H59" s="138"/>
      <c r="I59" s="138"/>
    </row>
    <row r="60" spans="1:9" ht="15">
      <c r="A60" s="138"/>
      <c r="B60" s="138"/>
      <c r="C60" s="138"/>
      <c r="D60" s="138"/>
      <c r="E60" s="138"/>
      <c r="F60" s="138"/>
      <c r="G60" s="138"/>
      <c r="H60" s="138"/>
      <c r="I60" s="138"/>
    </row>
    <row r="61" spans="1:9" ht="15">
      <c r="A61" s="140" t="s">
        <v>86</v>
      </c>
      <c r="B61" s="138"/>
      <c r="C61" s="138"/>
      <c r="D61" s="138"/>
      <c r="E61" s="138"/>
      <c r="F61" s="138"/>
      <c r="G61" s="138"/>
      <c r="H61" s="138"/>
      <c r="I61" s="138"/>
    </row>
    <row r="62" spans="1:9" ht="15">
      <c r="A62" s="144" t="s">
        <v>121</v>
      </c>
      <c r="B62" s="138"/>
      <c r="C62" s="138"/>
      <c r="D62" s="138"/>
      <c r="E62" s="138"/>
      <c r="F62" s="138"/>
      <c r="G62" s="138"/>
      <c r="H62" s="138"/>
      <c r="I62" s="138"/>
    </row>
    <row r="63" spans="1:9" ht="15">
      <c r="A63" s="144" t="s">
        <v>122</v>
      </c>
      <c r="B63" s="138"/>
      <c r="C63" s="138"/>
      <c r="D63" s="138"/>
      <c r="E63" s="138"/>
      <c r="F63" s="138"/>
      <c r="G63" s="138"/>
      <c r="H63" s="138"/>
      <c r="I63" s="138"/>
    </row>
    <row r="64" spans="1:9" ht="15">
      <c r="A64" s="144" t="s">
        <v>123</v>
      </c>
      <c r="B64" s="138"/>
      <c r="C64" s="138"/>
      <c r="D64" s="138"/>
      <c r="E64" s="138"/>
      <c r="F64" s="138"/>
      <c r="G64" s="138"/>
      <c r="H64" s="138"/>
      <c r="I64" s="138"/>
    </row>
  </sheetData>
  <hyperlinks>
    <hyperlink ref="A62" r:id="rId1"/>
    <hyperlink ref="A63" r:id="rId2"/>
    <hyperlink ref="A64" r:id="rId3"/>
    <hyperlink ref="A41" r:id="rId4"/>
    <hyperlink ref="A42" r:id="rId5"/>
    <hyperlink ref="A43" r:id="rId6"/>
    <hyperlink ref="A16" r:id="rId7"/>
    <hyperlink ref="A18" r:id="rId8"/>
    <hyperlink ref="A19" r:id="rId9"/>
    <hyperlink ref="A21" r:id="rId10"/>
    <hyperlink ref="A17" r:id="rId11"/>
    <hyperlink ref="A20" r:id="rId12"/>
    <hyperlink ref="A40" r:id="rId13"/>
  </hyperlinks>
  <pageMargins left="0.7" right="0.7" top="0.75" bottom="0.75" header="0.3" footer="0.3"/>
  <pageSetup orientation="portrait" verticalDpi="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LL-simple</vt:lpstr>
      <vt:lpstr>LL-advanced</vt:lpstr>
      <vt:lpstr>HAP Speciation</vt:lpstr>
      <vt:lpstr>'LL-advanced'!Print_Area</vt:lpstr>
      <vt:lpstr>'LL-simple'!Print_Area</vt:lpstr>
      <vt:lpstr>'LL-advanced'!Print_Titles</vt:lpstr>
      <vt:lpstr>'LL-simple'!Print_Titles</vt:lpstr>
      <vt:lpstr>'LL-advanced'!Text192</vt:lpstr>
      <vt:lpstr>'LL-simple'!Text192</vt:lpstr>
      <vt:lpstr>'LL-advanced'!Text193</vt:lpstr>
      <vt:lpstr>'LL-simple'!Text193</vt:lpstr>
      <vt:lpstr>'LL-advanced'!Text197</vt:lpstr>
      <vt:lpstr>'LL-simple'!Text197</vt:lpstr>
      <vt:lpstr>'LL-advanced'!Text200</vt:lpstr>
      <vt:lpstr>'LL-simple'!Text200</vt:lpstr>
      <vt:lpstr>'LL-advanced'!Text201</vt:lpstr>
      <vt:lpstr>'LL-simple'!Text201</vt:lpstr>
      <vt:lpstr>'LL-advanced'!Text204</vt:lpstr>
      <vt:lpstr>'LL-simple'!Text204</vt:lpstr>
      <vt:lpstr>'LL-advanced'!Text205</vt:lpstr>
      <vt:lpstr>'LL-simple'!Text205</vt:lpstr>
      <vt:lpstr>'LL-advanced'!Text206</vt:lpstr>
      <vt:lpstr>'LL-simple'!Text206</vt:lpstr>
      <vt:lpstr>'LL-advanced'!Text208</vt:lpstr>
      <vt:lpstr>'LL-simple'!Text208</vt:lpstr>
      <vt:lpstr>'LL-advanced'!Text210</vt:lpstr>
      <vt:lpstr>'LL-simple'!Text210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Graiver</dc:creator>
  <cp:lastModifiedBy>Akinbobola, Olabimpe</cp:lastModifiedBy>
  <cp:lastPrinted>2013-04-09T20:15:06Z</cp:lastPrinted>
  <dcterms:created xsi:type="dcterms:W3CDTF">2012-11-13T21:30:04Z</dcterms:created>
  <dcterms:modified xsi:type="dcterms:W3CDTF">2017-05-05T12:25:08Z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